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'Zał.1_WPF_bazowy'!$A$9:$A$104</definedName>
    <definedName name="_xlnm.Print_Area" localSheetId="0">'Zał.1_WPF_bazowy'!$B$8:$AL$104</definedName>
    <definedName name="_xlnm.Print_Titles" localSheetId="0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<sst xmlns="http://schemas.openxmlformats.org/spreadsheetml/2006/main" count="3676" uniqueCount="476">
  <si>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</si>
  <si>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</si>
  <si>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</si>
  <si>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</si>
  <si>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</si>
  <si>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</si>
  <si>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</si>
  <si>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</si>
  <si>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</si>
  <si>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</si>
  <si>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</si>
  <si>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</si>
  <si>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</si>
  <si>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</si>
  <si>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</si>
  <si>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</si>
  <si>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</si>
  <si>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</si>
  <si>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</si>
  <si>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</si>
  <si>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</si>
  <si>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</si>
  <si>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</si>
  <si>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</si>
  <si>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</si>
  <si>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</si>
  <si>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</si>
  <si>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</si>
  <si>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</si>
  <si>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</si>
  <si>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</si>
  <si>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</si>
  <si>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</si>
  <si>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</si>
  <si>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</si>
  <si>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</si>
  <si>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</si>
  <si>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</si>
  <si>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</si>
  <si>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</si>
  <si>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</si>
  <si>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</si>
  <si>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</si>
  <si>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</si>
  <si>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</si>
  <si>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</si>
  <si>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</si>
  <si>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</si>
  <si>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</si>
  <si>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</si>
  <si>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</si>
  <si>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</si>
  <si>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</si>
  <si>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</si>
  <si>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</si>
  <si>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</si>
  <si>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</si>
  <si>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</si>
  <si>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</si>
  <si>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</si>
  <si>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</si>
  <si>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</si>
  <si>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</si>
  <si>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</si>
  <si>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</si>
  <si>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</si>
  <si>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</si>
  <si>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</si>
  <si>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</si>
  <si>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</si>
  <si>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</si>
  <si>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</si>
  <si>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</si>
  <si>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</si>
  <si>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</si>
  <si>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</si>
  <si>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</si>
  <si>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</si>
  <si>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</si>
  <si>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</si>
  <si>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</si>
  <si>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</si>
  <si>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</si>
  <si>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</si>
  <si>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</si>
  <si>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</si>
  <si>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</si>
  <si>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</si>
  <si>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</si>
  <si>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</si>
  <si>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</si>
  <si>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</si>
  <si>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</si>
  <si>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</si>
  <si>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</si>
  <si>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</si>
  <si>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</si>
  <si>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</si>
  <si>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</si>
  <si>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</si>
  <si>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</si>
  <si>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</si>
  <si>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</si>
  <si>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</si>
  <si>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</si>
  <si>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</si>
  <si>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</si>
  <si>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</si>
  <si>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</si>
  <si>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</si>
  <si>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</si>
  <si>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</si>
  <si>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</si>
  <si>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</si>
  <si>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</si>
  <si>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</si>
  <si>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</si>
  <si>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</si>
  <si>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</si>
  <si>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</si>
  <si>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</si>
  <si>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</si>
  <si>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</si>
  <si>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</si>
  <si>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</si>
  <si>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</si>
  <si>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</si>
  <si>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</si>
  <si>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</si>
  <si>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</si>
  <si>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</si>
  <si>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</si>
  <si>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</si>
  <si>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</si>
  <si>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</si>
  <si>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</si>
  <si>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</si>
  <si>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</si>
  <si>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</si>
  <si>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</si>
  <si>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</si>
  <si>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</si>
  <si>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</si>
  <si>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</si>
  <si>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</si>
  <si>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</si>
  <si>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</si>
  <si>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</si>
  <si>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</si>
  <si>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</si>
  <si>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</si>
  <si>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</si>
  <si>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</si>
  <si>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</si>
  <si>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</si>
  <si>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</si>
  <si>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</si>
  <si>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</si>
  <si>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</si>
  <si>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</si>
  <si>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</si>
  <si>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</si>
  <si>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</si>
  <si>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</si>
  <si>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</si>
  <si>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</si>
  <si>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</si>
  <si>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</si>
  <si>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</si>
  <si>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</si>
  <si>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</si>
  <si>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</si>
  <si>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</si>
  <si>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</si>
  <si>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</si>
  <si>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</si>
  <si>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</si>
  <si>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</si>
  <si>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</si>
  <si>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</si>
  <si>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</si>
  <si>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</si>
  <si>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</si>
  <si>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</si>
  <si>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</si>
  <si>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</si>
  <si>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</si>
  <si>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</si>
  <si>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</si>
  <si>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</si>
  <si>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</si>
  <si>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</si>
  <si>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</si>
  <si>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</si>
  <si>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</si>
  <si>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</si>
  <si>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</si>
  <si>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</si>
  <si>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</si>
  <si>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</si>
  <si>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</si>
  <si>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</si>
  <si>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</si>
  <si>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</si>
  <si>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</si>
  <si>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</si>
  <si>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</si>
  <si>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</si>
  <si>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</si>
  <si>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</si>
  <si>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</si>
  <si>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</si>
  <si>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</si>
  <si>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</si>
  <si>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</si>
  <si>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</si>
  <si>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</si>
  <si>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</si>
  <si>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</si>
  <si>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</si>
  <si>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</si>
  <si>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</si>
  <si>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</si>
  <si>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</si>
  <si>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</si>
  <si>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</si>
  <si>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</si>
  <si>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</si>
  <si>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</si>
  <si>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</si>
  <si>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</si>
  <si>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</si>
  <si>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</si>
  <si>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</si>
  <si>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</si>
  <si>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</si>
  <si>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</si>
  <si>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</si>
  <si>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</si>
  <si>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</si>
  <si>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</si>
  <si>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</si>
  <si>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</si>
  <si>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</si>
  <si>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</si>
  <si>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</si>
  <si>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</si>
  <si>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</si>
  <si>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</si>
  <si>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</si>
  <si>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</si>
  <si>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</si>
  <si>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</si>
  <si>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</si>
  <si>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</si>
  <si>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</si>
  <si>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</si>
  <si>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</si>
  <si>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</si>
  <si>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</si>
  <si>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</si>
  <si>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</si>
  <si>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</si>
  <si>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</si>
  <si>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</si>
  <si>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</si>
  <si>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</si>
  <si>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</si>
  <si>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</si>
  <si>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</si>
  <si>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</si>
  <si>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</si>
  <si>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</si>
  <si>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</si>
  <si>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</si>
  <si>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</si>
  <si>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</si>
  <si>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</si>
  <si>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</si>
  <si>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</si>
  <si>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</si>
  <si>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</si>
  <si>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</si>
  <si>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</si>
  <si>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</si>
  <si>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</si>
  <si>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</si>
  <si>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</si>
  <si>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</si>
  <si>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</si>
  <si>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</si>
  <si>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</si>
  <si>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</si>
  <si>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</si>
  <si>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</si>
  <si>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</si>
  <si>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</si>
  <si>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</si>
  <si>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</si>
  <si>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</si>
  <si>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</si>
  <si>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</si>
  <si>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</si>
  <si>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</si>
  <si>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</si>
  <si>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</si>
  <si>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</si>
  <si>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</si>
  <si>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</si>
  <si>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</si>
  <si>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</si>
  <si>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</si>
  <si>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</si>
  <si>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</si>
  <si>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</si>
  <si>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</si>
  <si>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</si>
  <si>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</si>
  <si>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</si>
  <si>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</si>
  <si>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</si>
  <si>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</si>
  <si>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</si>
  <si>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</si>
  <si>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</si>
  <si>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</si>
  <si>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</si>
  <si>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</si>
  <si>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</si>
  <si>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</si>
  <si>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</si>
  <si>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</si>
  <si>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</si>
  <si>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</si>
  <si>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</si>
  <si>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</si>
  <si>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</si>
  <si>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</si>
  <si>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</si>
  <si>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</si>
  <si>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</si>
  <si>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</si>
  <si>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</si>
  <si>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</si>
  <si>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</si>
  <si>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</si>
  <si>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</si>
  <si>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</si>
  <si>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</si>
  <si>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</si>
  <si>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</si>
  <si>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</si>
  <si>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</si>
  <si>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</si>
  <si>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</si>
  <si>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</si>
  <si>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</si>
  <si>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</si>
  <si>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</si>
  <si>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</si>
  <si>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</si>
  <si>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</si>
  <si>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</si>
  <si>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</si>
  <si>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</si>
  <si>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</si>
  <si>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</si>
  <si>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</si>
  <si>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</si>
  <si>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</si>
  <si>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</si>
  <si>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</si>
  <si>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</si>
  <si>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</si>
  <si>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</si>
  <si>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</si>
  <si>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</si>
  <si>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</si>
  <si>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</si>
  <si>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</si>
  <si>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</si>
  <si>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</si>
  <si>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</si>
  <si>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</si>
  <si>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</si>
  <si>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</si>
  <si>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</si>
  <si>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</si>
  <si>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</si>
  <si>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</si>
  <si>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</si>
  <si>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</si>
  <si>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</si>
  <si>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</si>
  <si>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</si>
  <si>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</si>
  <si>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</si>
  <si>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</si>
  <si>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</si>
  <si>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Do symulacji prognozy i obserwacji zmian wskaźników z art. 243, 169 i 170 na podstawie danych wprowadzanych ręcznie służy arkusz "WPF_AnalizaWsk_Projektowanie"</t>
  </si>
  <si>
    <t>Tabela WPF jest ZABLOKOWANA do edycji. Do szacowania i analizy służy arkusz "WPF_AnalizaWsk_Projektowanie"</t>
  </si>
  <si>
    <t>Zestawienie wygenerowane na podstawie danych wprowadzonych do systemu BESTI@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</si>
  <si>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</si>
  <si>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</si>
  <si>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</si>
  <si>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</si>
  <si>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</si>
  <si>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</si>
  <si>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</si>
  <si>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</si>
  <si>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</si>
  <si>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</si>
  <si>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</si>
  <si>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</si>
  <si>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</si>
  <si>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</si>
  <si>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</si>
  <si>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</si>
  <si>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</si>
  <si>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</si>
  <si>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</si>
  <si>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Wyliczenie zobowiązań wynikających z przejęcia przez jst zobowiązań po likwidowanych i przekształcanych SZOZ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</si>
  <si>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</si>
  <si>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</si>
  <si>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</si>
  <si>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</si>
  <si>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</si>
  <si>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</si>
  <si>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</si>
  <si>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</si>
  <si>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</si>
  <si>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</si>
  <si>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</si>
  <si>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</si>
  <si>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</si>
  <si>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</si>
  <si>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</si>
  <si>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</si>
  <si>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</si>
  <si>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</si>
  <si>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</si>
  <si>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</si>
  <si>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</si>
  <si>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</si>
  <si>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</si>
  <si>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</si>
  <si>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</si>
  <si>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</si>
  <si>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</si>
  <si>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</si>
  <si>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</si>
  <si>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</si>
  <si>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</si>
  <si>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Uch. RPW</t>
  </si>
  <si>
    <t>wrocławski</t>
  </si>
  <si>
    <t>[1] -[2]</t>
  </si>
  <si>
    <t>[1.1] - [2.1]</t>
  </si>
  <si>
    <t>[1.1] + [1.2]</t>
  </si>
  <si>
    <t>[5.1] + [5.2]</t>
  </si>
  <si>
    <t>([2.1.1] + [2.1.3.1] + [5.1] ) / [1]</t>
  </si>
  <si>
    <t>[9.6] - [9.7.1]</t>
  </si>
  <si>
    <t>([2.1.1] + [2.1.3.1] + [5.1] - [5.1.1] ) / [1]</t>
  </si>
  <si>
    <t>[9.6] - [9.7]</t>
  </si>
  <si>
    <t>([2.1.1]+[2.1.3.1] + [5.1]+[9.5]-[5.1.1] )/[1]</t>
  </si>
  <si>
    <t>( [1.1] -  ( [2.1]  - [2.1.2] ) + [1.2.1] ) / [1]</t>
  </si>
  <si>
    <t>[4.1] + [4.2] + [4.3] + [4.4]</t>
  </si>
  <si>
    <t>[6]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</si>
  <si>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</si>
  <si>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[11.3.1] + [11.3.2]</t>
  </si>
  <si>
    <t>[2.1] + [2.2]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</si>
  <si>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</si>
  <si>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[1.1] + [4.1] + [4.2] - (  [2.1] - [2.1.2]  )</t>
  </si>
  <si>
    <t>([6] - [6.1]) / 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</si>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</sst>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61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5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6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6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6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6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7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38" fillId="20" borderId="2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0" fillId="0" borderId="3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1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4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5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4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47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35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0" fillId="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2" fillId="0" borderId="11" xfId="131" applyFont="1" applyFill="1" applyBorder="1" applyAlignment="1">
      <alignment vertical="center" wrapText="1"/>
      <protection/>
    </xf>
    <xf numFmtId="0" fontId="1" fillId="0" borderId="12" xfId="131" applyFont="1" applyFill="1" applyBorder="1" applyAlignment="1">
      <alignment horizontal="left" vertical="center" wrapText="1" indent="1"/>
      <protection/>
    </xf>
    <xf numFmtId="0" fontId="1" fillId="0" borderId="12" xfId="131" applyFont="1" applyFill="1" applyBorder="1" applyAlignment="1">
      <alignment horizontal="left" vertical="center" wrapText="1" indent="2"/>
      <protection/>
    </xf>
    <xf numFmtId="0" fontId="1" fillId="0" borderId="12" xfId="131" applyNumberFormat="1" applyFont="1" applyFill="1" applyBorder="1" applyAlignment="1">
      <alignment horizontal="left" vertical="center" wrapText="1" indent="2"/>
      <protection/>
    </xf>
    <xf numFmtId="0" fontId="1" fillId="0" borderId="12" xfId="131" applyFont="1" applyFill="1" applyBorder="1" applyAlignment="1">
      <alignment horizontal="left" vertical="center" wrapText="1" indent="3"/>
      <protection/>
    </xf>
    <xf numFmtId="0" fontId="1" fillId="0" borderId="13" xfId="131" applyFont="1" applyFill="1" applyBorder="1" applyAlignment="1">
      <alignment horizontal="left" vertical="center" wrapText="1" indent="1"/>
      <protection/>
    </xf>
    <xf numFmtId="0" fontId="1" fillId="0" borderId="13" xfId="131" applyFont="1" applyFill="1" applyBorder="1" applyAlignment="1">
      <alignment horizontal="left" vertical="center" wrapText="1" indent="2"/>
      <protection/>
    </xf>
    <xf numFmtId="1" fontId="51" fillId="0" borderId="0" xfId="0" applyNumberFormat="1" applyFont="1" applyAlignment="1">
      <alignment horizontal="center" vertical="center"/>
    </xf>
    <xf numFmtId="166" fontId="51" fillId="0" borderId="0" xfId="0" applyNumberFormat="1" applyFont="1" applyAlignment="1">
      <alignment vertical="center"/>
    </xf>
    <xf numFmtId="2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4" fontId="5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6" fillId="0" borderId="0" xfId="0" applyFont="1" applyAlignment="1">
      <alignment horizontal="left" indent="1"/>
    </xf>
    <xf numFmtId="166" fontId="6" fillId="0" borderId="0" xfId="0" applyNumberFormat="1" applyFont="1" applyAlignment="1">
      <alignment/>
    </xf>
    <xf numFmtId="169" fontId="6" fillId="24" borderId="0" xfId="140" applyNumberFormat="1" applyFont="1" applyFill="1" applyAlignment="1">
      <alignment vertical="center"/>
    </xf>
    <xf numFmtId="169" fontId="6" fillId="11" borderId="0" xfId="140" applyNumberFormat="1" applyFont="1" applyFill="1" applyAlignment="1">
      <alignment vertical="center"/>
    </xf>
    <xf numFmtId="169" fontId="6" fillId="17" borderId="0" xfId="140" applyNumberFormat="1" applyFont="1" applyFill="1" applyAlignment="1">
      <alignment vertical="center"/>
    </xf>
    <xf numFmtId="169" fontId="7" fillId="17" borderId="0" xfId="138" applyNumberFormat="1" applyFont="1" applyFill="1" applyAlignment="1">
      <alignment vertical="center"/>
    </xf>
    <xf numFmtId="169" fontId="7" fillId="11" borderId="0" xfId="138" applyNumberFormat="1" applyFont="1" applyFill="1" applyAlignment="1">
      <alignment vertical="center"/>
    </xf>
    <xf numFmtId="169" fontId="7" fillId="24" borderId="0" xfId="138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1" fillId="0" borderId="11" xfId="131" applyFont="1" applyFill="1" applyBorder="1" applyAlignment="1">
      <alignment horizontal="left" vertical="center" wrapText="1" indent="1"/>
      <protection/>
    </xf>
    <xf numFmtId="0" fontId="2" fillId="0" borderId="14" xfId="131" applyFont="1" applyFill="1" applyBorder="1" applyAlignment="1">
      <alignment vertical="center" wrapText="1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2" fillId="0" borderId="0" xfId="131" applyFont="1" applyFill="1" applyBorder="1" applyAlignment="1">
      <alignment vertical="center" wrapText="1"/>
      <protection/>
    </xf>
    <xf numFmtId="49" fontId="26" fillId="20" borderId="15" xfId="131" applyNumberFormat="1" applyFont="1" applyFill="1" applyBorder="1" applyAlignment="1">
      <alignment horizontal="center" vertical="center"/>
      <protection/>
    </xf>
    <xf numFmtId="1" fontId="26" fillId="20" borderId="16" xfId="131" applyNumberFormat="1" applyFont="1" applyFill="1" applyBorder="1" applyAlignment="1">
      <alignment horizontal="center" vertical="center"/>
      <protection/>
    </xf>
    <xf numFmtId="1" fontId="26" fillId="20" borderId="17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" fontId="26" fillId="20" borderId="18" xfId="131" applyNumberFormat="1" applyFont="1" applyFill="1" applyBorder="1" applyAlignment="1">
      <alignment horizontal="center" vertical="center"/>
      <protection/>
    </xf>
    <xf numFmtId="49" fontId="26" fillId="20" borderId="16" xfId="131" applyNumberFormat="1" applyFont="1" applyFill="1" applyBorder="1" applyAlignment="1">
      <alignment horizontal="center" vertical="center" wrapText="1"/>
      <protection/>
    </xf>
    <xf numFmtId="49" fontId="26" fillId="20" borderId="17" xfId="131" applyNumberFormat="1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6" fontId="2" fillId="20" borderId="21" xfId="131" applyNumberFormat="1" applyFont="1" applyFill="1" applyBorder="1" applyAlignment="1">
      <alignment vertical="center" shrinkToFit="1"/>
      <protection/>
    </xf>
    <xf numFmtId="166" fontId="2" fillId="20" borderId="22" xfId="131" applyNumberFormat="1" applyFont="1" applyFill="1" applyBorder="1" applyAlignment="1">
      <alignment vertical="center" shrinkToFit="1"/>
      <protection/>
    </xf>
    <xf numFmtId="166" fontId="2" fillId="0" borderId="23" xfId="131" applyNumberFormat="1" applyFont="1" applyFill="1" applyBorder="1" applyAlignment="1">
      <alignment vertical="center" shrinkToFit="1"/>
      <protection/>
    </xf>
    <xf numFmtId="166" fontId="2" fillId="0" borderId="21" xfId="131" applyNumberFormat="1" applyFont="1" applyFill="1" applyBorder="1" applyAlignment="1">
      <alignment vertical="center" shrinkToFit="1"/>
      <protection/>
    </xf>
    <xf numFmtId="166" fontId="2" fillId="0" borderId="22" xfId="131" applyNumberFormat="1" applyFont="1" applyFill="1" applyBorder="1" applyAlignment="1">
      <alignment vertical="center" shrinkToFit="1"/>
      <protection/>
    </xf>
    <xf numFmtId="166" fontId="1" fillId="20" borderId="21" xfId="131" applyNumberFormat="1" applyFont="1" applyFill="1" applyBorder="1" applyAlignment="1">
      <alignment vertical="center" shrinkToFit="1"/>
      <protection/>
    </xf>
    <xf numFmtId="166" fontId="1" fillId="20" borderId="22" xfId="131" applyNumberFormat="1" applyFont="1" applyFill="1" applyBorder="1" applyAlignment="1">
      <alignment vertical="center" shrinkToFit="1"/>
      <protection/>
    </xf>
    <xf numFmtId="166" fontId="1" fillId="0" borderId="23" xfId="131" applyNumberFormat="1" applyFont="1" applyFill="1" applyBorder="1" applyAlignment="1">
      <alignment vertical="center" shrinkToFit="1"/>
      <protection/>
    </xf>
    <xf numFmtId="166" fontId="1" fillId="0" borderId="21" xfId="131" applyNumberFormat="1" applyFont="1" applyFill="1" applyBorder="1" applyAlignment="1">
      <alignment vertical="center" shrinkToFit="1"/>
      <protection/>
    </xf>
    <xf numFmtId="166" fontId="1" fillId="0" borderId="22" xfId="131" applyNumberFormat="1" applyFont="1" applyFill="1" applyBorder="1" applyAlignment="1">
      <alignment vertical="center" shrinkToFit="1"/>
      <protection/>
    </xf>
    <xf numFmtId="166" fontId="1" fillId="20" borderId="21" xfId="131" applyNumberFormat="1" applyFont="1" applyFill="1" applyBorder="1" applyAlignment="1">
      <alignment horizontal="center" vertical="center" shrinkToFit="1"/>
      <protection/>
    </xf>
    <xf numFmtId="166" fontId="1" fillId="20" borderId="22" xfId="131" applyNumberFormat="1" applyFont="1" applyFill="1" applyBorder="1" applyAlignment="1">
      <alignment horizontal="center" vertical="center" shrinkToFit="1"/>
      <protection/>
    </xf>
    <xf numFmtId="49" fontId="26" fillId="8" borderId="0" xfId="0" applyNumberFormat="1" applyFont="1" applyFill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locked="0"/>
    </xf>
    <xf numFmtId="175" fontId="1" fillId="20" borderId="21" xfId="131" applyNumberFormat="1" applyFont="1" applyFill="1" applyBorder="1" applyAlignment="1">
      <alignment vertical="center" shrinkToFit="1"/>
      <protection/>
    </xf>
    <xf numFmtId="175" fontId="1" fillId="20" borderId="22" xfId="131" applyNumberFormat="1" applyFont="1" applyFill="1" applyBorder="1" applyAlignment="1">
      <alignment vertical="center" shrinkToFit="1"/>
      <protection/>
    </xf>
    <xf numFmtId="175" fontId="1" fillId="0" borderId="23" xfId="131" applyNumberFormat="1" applyFont="1" applyFill="1" applyBorder="1" applyAlignment="1">
      <alignment vertical="center" shrinkToFit="1"/>
      <protection/>
    </xf>
    <xf numFmtId="175" fontId="1" fillId="0" borderId="21" xfId="131" applyNumberFormat="1" applyFont="1" applyFill="1" applyBorder="1" applyAlignment="1">
      <alignment vertical="center" shrinkToFit="1"/>
      <protection/>
    </xf>
    <xf numFmtId="175" fontId="1" fillId="0" borderId="22" xfId="131" applyNumberFormat="1" applyFont="1" applyFill="1" applyBorder="1" applyAlignment="1">
      <alignment vertical="center" shrinkToFit="1"/>
      <protection/>
    </xf>
    <xf numFmtId="166" fontId="2" fillId="20" borderId="21" xfId="131" applyNumberFormat="1" applyFont="1" applyFill="1" applyBorder="1" applyAlignment="1">
      <alignment horizontal="center" vertical="center" shrinkToFit="1"/>
      <protection/>
    </xf>
    <xf numFmtId="166" fontId="2" fillId="20" borderId="22" xfId="131" applyNumberFormat="1" applyFont="1" applyFill="1" applyBorder="1" applyAlignment="1">
      <alignment horizontal="center" vertical="center" shrinkToFit="1"/>
      <protection/>
    </xf>
    <xf numFmtId="166" fontId="2" fillId="0" borderId="23" xfId="131" applyNumberFormat="1" applyFont="1" applyFill="1" applyBorder="1" applyAlignment="1">
      <alignment horizontal="center" vertical="center" shrinkToFit="1"/>
      <protection/>
    </xf>
    <xf numFmtId="166" fontId="2" fillId="0" borderId="21" xfId="131" applyNumberFormat="1" applyFont="1" applyFill="1" applyBorder="1" applyAlignment="1">
      <alignment horizontal="center" vertical="center" shrinkToFit="1"/>
      <protection/>
    </xf>
    <xf numFmtId="166" fontId="2" fillId="0" borderId="22" xfId="131" applyNumberFormat="1" applyFont="1" applyFill="1" applyBorder="1" applyAlignment="1">
      <alignment horizontal="center" vertical="center" shrinkToFit="1"/>
      <protection/>
    </xf>
    <xf numFmtId="166" fontId="1" fillId="20" borderId="24" xfId="131" applyNumberFormat="1" applyFont="1" applyFill="1" applyBorder="1" applyAlignment="1">
      <alignment vertical="center" shrinkToFit="1"/>
      <protection/>
    </xf>
    <xf numFmtId="166" fontId="1" fillId="20" borderId="25" xfId="131" applyNumberFormat="1" applyFont="1" applyFill="1" applyBorder="1" applyAlignment="1">
      <alignment vertical="center" shrinkToFit="1"/>
      <protection/>
    </xf>
    <xf numFmtId="166" fontId="1" fillId="0" borderId="26" xfId="131" applyNumberFormat="1" applyFont="1" applyFill="1" applyBorder="1" applyAlignment="1">
      <alignment vertical="center" shrinkToFit="1"/>
      <protection/>
    </xf>
    <xf numFmtId="166" fontId="1" fillId="0" borderId="24" xfId="131" applyNumberFormat="1" applyFont="1" applyFill="1" applyBorder="1" applyAlignment="1">
      <alignment vertical="center" shrinkToFit="1"/>
      <protection/>
    </xf>
    <xf numFmtId="166" fontId="1" fillId="0" borderId="25" xfId="131" applyNumberFormat="1" applyFont="1" applyFill="1" applyBorder="1" applyAlignment="1">
      <alignment vertical="center" shrinkToFit="1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7" fillId="0" borderId="0" xfId="138" applyNumberFormat="1" applyFont="1" applyFill="1" applyAlignment="1">
      <alignment vertical="center"/>
    </xf>
    <xf numFmtId="169" fontId="6" fillId="0" borderId="0" xfId="140" applyNumberFormat="1" applyFont="1" applyFill="1" applyAlignment="1">
      <alignment vertical="center"/>
    </xf>
    <xf numFmtId="0" fontId="6" fillId="0" borderId="0" xfId="0" applyFont="1" applyFill="1" applyAlignment="1">
      <alignment horizontal="left" indent="1"/>
    </xf>
    <xf numFmtId="0" fontId="52" fillId="0" borderId="0" xfId="0" applyFont="1" applyBorder="1" applyAlignment="1">
      <alignment horizontal="center" vertical="center"/>
    </xf>
    <xf numFmtId="0" fontId="28" fillId="19" borderId="27" xfId="0" applyFont="1" applyFill="1" applyBorder="1" applyAlignment="1">
      <alignment horizontal="left" vertical="center" wrapText="1"/>
    </xf>
    <xf numFmtId="0" fontId="28" fillId="19" borderId="28" xfId="0" applyFont="1" applyFill="1" applyBorder="1" applyAlignment="1">
      <alignment horizontal="left" vertical="center" wrapText="1"/>
    </xf>
    <xf numFmtId="0" fontId="28" fillId="11" borderId="28" xfId="0" applyFont="1" applyFill="1" applyBorder="1" applyAlignment="1">
      <alignment horizontal="left" vertical="center" wrapText="1"/>
    </xf>
    <xf numFmtId="0" fontId="28" fillId="24" borderId="28" xfId="0" applyFont="1" applyFill="1" applyBorder="1" applyAlignment="1">
      <alignment horizontal="left" vertical="center" wrapText="1"/>
    </xf>
    <xf numFmtId="0" fontId="28" fillId="24" borderId="29" xfId="0" applyFont="1" applyFill="1" applyBorder="1" applyAlignment="1">
      <alignment horizontal="left" vertical="center" wrapText="1"/>
    </xf>
    <xf numFmtId="49" fontId="26" fillId="20" borderId="15" xfId="131" applyNumberFormat="1" applyFont="1" applyFill="1" applyBorder="1" applyAlignment="1">
      <alignment horizontal="center" vertical="center" wrapText="1"/>
      <protection/>
    </xf>
    <xf numFmtId="166" fontId="2" fillId="20" borderId="19" xfId="131" applyNumberFormat="1" applyFont="1" applyFill="1" applyBorder="1" applyAlignment="1">
      <alignment vertical="center" shrinkToFit="1"/>
      <protection/>
    </xf>
    <xf numFmtId="166" fontId="1" fillId="20" borderId="19" xfId="131" applyNumberFormat="1" applyFont="1" applyFill="1" applyBorder="1" applyAlignment="1">
      <alignment vertical="center" shrinkToFit="1"/>
      <protection/>
    </xf>
    <xf numFmtId="166" fontId="1" fillId="20" borderId="19" xfId="131" applyNumberFormat="1" applyFont="1" applyFill="1" applyBorder="1" applyAlignment="1">
      <alignment horizontal="center" vertical="center" shrinkToFit="1"/>
      <protection/>
    </xf>
    <xf numFmtId="175" fontId="1" fillId="20" borderId="19" xfId="131" applyNumberFormat="1" applyFont="1" applyFill="1" applyBorder="1" applyAlignment="1">
      <alignment vertical="center" shrinkToFit="1"/>
      <protection/>
    </xf>
    <xf numFmtId="166" fontId="2" fillId="20" borderId="19" xfId="131" applyNumberFormat="1" applyFont="1" applyFill="1" applyBorder="1" applyAlignment="1">
      <alignment horizontal="center" vertical="center" shrinkToFit="1"/>
      <protection/>
    </xf>
    <xf numFmtId="166" fontId="1" fillId="20" borderId="20" xfId="131" applyNumberFormat="1" applyFont="1" applyFill="1" applyBorder="1" applyAlignment="1">
      <alignment vertical="center" shrinkToFit="1"/>
      <protection/>
    </xf>
    <xf numFmtId="169" fontId="2" fillId="0" borderId="18" xfId="138" applyNumberFormat="1" applyFont="1" applyFill="1" applyBorder="1" applyAlignment="1">
      <alignment horizontal="right" vertical="center" wrapText="1"/>
    </xf>
    <xf numFmtId="169" fontId="2" fillId="0" borderId="16" xfId="138" applyNumberFormat="1" applyFont="1" applyFill="1" applyBorder="1" applyAlignment="1">
      <alignment horizontal="right" vertical="center" wrapText="1"/>
    </xf>
    <xf numFmtId="169" fontId="2" fillId="0" borderId="17" xfId="138" applyNumberFormat="1" applyFont="1" applyFill="1" applyBorder="1" applyAlignment="1">
      <alignment horizontal="right" vertical="center" wrapText="1"/>
    </xf>
    <xf numFmtId="169" fontId="1" fillId="0" borderId="23" xfId="138" applyNumberFormat="1" applyFont="1" applyFill="1" applyBorder="1" applyAlignment="1">
      <alignment horizontal="right" vertical="center" wrapText="1"/>
    </xf>
    <xf numFmtId="169" fontId="1" fillId="0" borderId="21" xfId="138" applyNumberFormat="1" applyFont="1" applyFill="1" applyBorder="1" applyAlignment="1">
      <alignment horizontal="right" vertical="center" wrapText="1"/>
    </xf>
    <xf numFmtId="169" fontId="1" fillId="0" borderId="22" xfId="138" applyNumberFormat="1" applyFont="1" applyFill="1" applyBorder="1" applyAlignment="1">
      <alignment horizontal="right" vertical="center" wrapText="1"/>
    </xf>
    <xf numFmtId="169" fontId="1" fillId="0" borderId="26" xfId="138" applyNumberFormat="1" applyFont="1" applyFill="1" applyBorder="1" applyAlignment="1">
      <alignment horizontal="right" vertical="center" wrapText="1"/>
    </xf>
    <xf numFmtId="169" fontId="1" fillId="0" borderId="24" xfId="138" applyNumberFormat="1" applyFont="1" applyFill="1" applyBorder="1" applyAlignment="1">
      <alignment horizontal="right" vertical="center" wrapText="1"/>
    </xf>
    <xf numFmtId="169" fontId="1" fillId="0" borderId="25" xfId="138" applyNumberFormat="1" applyFont="1" applyFill="1" applyBorder="1" applyAlignment="1">
      <alignment horizontal="right" vertical="center" wrapText="1"/>
    </xf>
    <xf numFmtId="169" fontId="1" fillId="0" borderId="18" xfId="138" applyNumberFormat="1" applyFont="1" applyFill="1" applyBorder="1" applyAlignment="1">
      <alignment horizontal="right" vertical="center" wrapText="1"/>
    </xf>
    <xf numFmtId="169" fontId="1" fillId="0" borderId="16" xfId="138" applyNumberFormat="1" applyFont="1" applyFill="1" applyBorder="1" applyAlignment="1">
      <alignment horizontal="right" vertical="center" wrapText="1"/>
    </xf>
    <xf numFmtId="169" fontId="1" fillId="0" borderId="17" xfId="138" applyNumberFormat="1" applyFont="1" applyFill="1" applyBorder="1" applyAlignment="1">
      <alignment horizontal="right" vertical="center" wrapText="1"/>
    </xf>
    <xf numFmtId="169" fontId="2" fillId="20" borderId="16" xfId="131" applyNumberFormat="1" applyFont="1" applyFill="1" applyBorder="1" applyAlignment="1">
      <alignment horizontal="right" vertical="center" wrapText="1"/>
      <protection/>
    </xf>
    <xf numFmtId="169" fontId="2" fillId="20" borderId="17" xfId="131" applyNumberFormat="1" applyFont="1" applyFill="1" applyBorder="1" applyAlignment="1">
      <alignment horizontal="right" vertical="center" wrapText="1"/>
      <protection/>
    </xf>
    <xf numFmtId="169" fontId="1" fillId="20" borderId="21" xfId="131" applyNumberFormat="1" applyFont="1" applyFill="1" applyBorder="1" applyAlignment="1">
      <alignment horizontal="right" vertical="center" wrapText="1"/>
      <protection/>
    </xf>
    <xf numFmtId="169" fontId="1" fillId="20" borderId="22" xfId="131" applyNumberFormat="1" applyFont="1" applyFill="1" applyBorder="1" applyAlignment="1">
      <alignment horizontal="right" vertical="center" wrapText="1"/>
      <protection/>
    </xf>
    <xf numFmtId="169" fontId="2" fillId="20" borderId="21" xfId="131" applyNumberFormat="1" applyFont="1" applyFill="1" applyBorder="1" applyAlignment="1">
      <alignment horizontal="right" vertical="center" wrapText="1"/>
      <protection/>
    </xf>
    <xf numFmtId="169" fontId="2" fillId="20" borderId="22" xfId="131" applyNumberFormat="1" applyFont="1" applyFill="1" applyBorder="1" applyAlignment="1">
      <alignment horizontal="right" vertical="center" wrapText="1"/>
      <protection/>
    </xf>
    <xf numFmtId="169" fontId="2" fillId="20" borderId="24" xfId="131" applyNumberFormat="1" applyFont="1" applyFill="1" applyBorder="1" applyAlignment="1">
      <alignment horizontal="right" vertical="center" wrapText="1"/>
      <protection/>
    </xf>
    <xf numFmtId="169" fontId="2" fillId="20" borderId="25" xfId="131" applyNumberFormat="1" applyFont="1" applyFill="1" applyBorder="1" applyAlignment="1">
      <alignment horizontal="right" vertical="center" wrapText="1"/>
      <protection/>
    </xf>
    <xf numFmtId="169" fontId="1" fillId="20" borderId="24" xfId="131" applyNumberFormat="1" applyFont="1" applyFill="1" applyBorder="1" applyAlignment="1">
      <alignment horizontal="right" vertical="center" wrapText="1"/>
      <protection/>
    </xf>
    <xf numFmtId="169" fontId="1" fillId="20" borderId="25" xfId="131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19" borderId="0" xfId="0" applyFont="1" applyFill="1" applyBorder="1" applyAlignment="1" applyProtection="1">
      <alignment horizontal="left" vertical="center" wrapText="1"/>
      <protection locked="0"/>
    </xf>
    <xf numFmtId="0" fontId="28" fillId="11" borderId="0" xfId="0" applyFont="1" applyFill="1" applyBorder="1" applyAlignment="1" applyProtection="1">
      <alignment horizontal="left" vertic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1" fillId="6" borderId="31" xfId="0" applyFont="1" applyFill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31" fillId="6" borderId="32" xfId="0" applyFont="1" applyFill="1" applyBorder="1" applyAlignment="1">
      <alignment horizontal="left" vertical="center" wrapText="1"/>
    </xf>
    <xf numFmtId="0" fontId="31" fillId="6" borderId="33" xfId="0" applyFont="1" applyFill="1" applyBorder="1" applyAlignment="1">
      <alignment horizontal="left" vertical="center" wrapText="1"/>
    </xf>
    <xf numFmtId="4" fontId="1" fillId="0" borderId="26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169" fontId="2" fillId="20" borderId="16" xfId="0" applyNumberFormat="1" applyFont="1" applyFill="1" applyBorder="1" applyAlignment="1">
      <alignment horizontal="right" vertical="center"/>
    </xf>
    <xf numFmtId="169" fontId="2" fillId="20" borderId="17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 indent="1"/>
    </xf>
    <xf numFmtId="169" fontId="1" fillId="0" borderId="23" xfId="138" applyNumberFormat="1" applyFont="1" applyFill="1" applyBorder="1" applyAlignment="1">
      <alignment horizontal="right" vertical="center"/>
    </xf>
    <xf numFmtId="169" fontId="1" fillId="0" borderId="21" xfId="138" applyNumberFormat="1" applyFont="1" applyFill="1" applyBorder="1" applyAlignment="1">
      <alignment horizontal="right" vertical="center"/>
    </xf>
    <xf numFmtId="169" fontId="1" fillId="0" borderId="22" xfId="138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169" fontId="1" fillId="0" borderId="34" xfId="138" applyNumberFormat="1" applyFont="1" applyFill="1" applyBorder="1" applyAlignment="1">
      <alignment horizontal="right" vertical="center"/>
    </xf>
    <xf numFmtId="169" fontId="1" fillId="0" borderId="35" xfId="138" applyNumberFormat="1" applyFont="1" applyFill="1" applyBorder="1" applyAlignment="1">
      <alignment horizontal="right" vertical="center"/>
    </xf>
    <xf numFmtId="169" fontId="1" fillId="0" borderId="36" xfId="138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indent="1"/>
    </xf>
    <xf numFmtId="169" fontId="1" fillId="0" borderId="26" xfId="138" applyNumberFormat="1" applyFont="1" applyFill="1" applyBorder="1" applyAlignment="1">
      <alignment horizontal="right" vertical="center"/>
    </xf>
    <xf numFmtId="169" fontId="1" fillId="0" borderId="24" xfId="138" applyNumberFormat="1" applyFont="1" applyFill="1" applyBorder="1" applyAlignment="1">
      <alignment horizontal="right" vertical="center"/>
    </xf>
    <xf numFmtId="169" fontId="1" fillId="0" borderId="25" xfId="138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/>
    </xf>
    <xf numFmtId="0" fontId="1" fillId="0" borderId="0" xfId="0" applyFont="1" applyAlignment="1">
      <alignment vertical="center"/>
    </xf>
    <xf numFmtId="166" fontId="2" fillId="20" borderId="15" xfId="0" applyNumberFormat="1" applyFont="1" applyFill="1" applyBorder="1" applyAlignment="1">
      <alignment vertical="center"/>
    </xf>
    <xf numFmtId="166" fontId="2" fillId="20" borderId="16" xfId="0" applyNumberFormat="1" applyFont="1" applyFill="1" applyBorder="1" applyAlignment="1">
      <alignment vertical="center"/>
    </xf>
    <xf numFmtId="166" fontId="2" fillId="20" borderId="17" xfId="0" applyNumberFormat="1" applyFont="1" applyFill="1" applyBorder="1" applyAlignment="1">
      <alignment vertical="center"/>
    </xf>
    <xf numFmtId="166" fontId="1" fillId="0" borderId="23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166" fontId="1" fillId="0" borderId="22" xfId="0" applyNumberFormat="1" applyFont="1" applyBorder="1" applyAlignment="1">
      <alignment vertical="center"/>
    </xf>
    <xf numFmtId="166" fontId="1" fillId="0" borderId="26" xfId="0" applyNumberFormat="1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166" fontId="1" fillId="20" borderId="19" xfId="0" applyNumberFormat="1" applyFont="1" applyFill="1" applyBorder="1" applyAlignment="1">
      <alignment vertical="center"/>
    </xf>
    <xf numFmtId="166" fontId="1" fillId="20" borderId="21" xfId="0" applyNumberFormat="1" applyFont="1" applyFill="1" applyBorder="1" applyAlignment="1">
      <alignment vertical="center"/>
    </xf>
    <xf numFmtId="166" fontId="1" fillId="20" borderId="22" xfId="0" applyNumberFormat="1" applyFont="1" applyFill="1" applyBorder="1" applyAlignment="1">
      <alignment vertical="center"/>
    </xf>
    <xf numFmtId="166" fontId="1" fillId="20" borderId="20" xfId="0" applyNumberFormat="1" applyFont="1" applyFill="1" applyBorder="1" applyAlignment="1">
      <alignment vertical="center"/>
    </xf>
    <xf numFmtId="166" fontId="1" fillId="20" borderId="24" xfId="0" applyNumberFormat="1" applyFont="1" applyFill="1" applyBorder="1" applyAlignment="1">
      <alignment vertical="center"/>
    </xf>
    <xf numFmtId="166" fontId="1" fillId="20" borderId="25" xfId="0" applyNumberFormat="1" applyFont="1" applyFill="1" applyBorder="1" applyAlignment="1">
      <alignment vertical="center"/>
    </xf>
    <xf numFmtId="4" fontId="1" fillId="20" borderId="15" xfId="0" applyNumberFormat="1" applyFont="1" applyFill="1" applyBorder="1" applyAlignment="1">
      <alignment vertical="center"/>
    </xf>
    <xf numFmtId="4" fontId="1" fillId="20" borderId="16" xfId="0" applyNumberFormat="1" applyFont="1" applyFill="1" applyBorder="1" applyAlignment="1">
      <alignment vertical="center"/>
    </xf>
    <xf numFmtId="4" fontId="1" fillId="20" borderId="17" xfId="0" applyNumberFormat="1" applyFont="1" applyFill="1" applyBorder="1" applyAlignment="1">
      <alignment vertical="center"/>
    </xf>
    <xf numFmtId="4" fontId="1" fillId="20" borderId="19" xfId="0" applyNumberFormat="1" applyFont="1" applyFill="1" applyBorder="1" applyAlignment="1">
      <alignment vertical="center"/>
    </xf>
    <xf numFmtId="4" fontId="1" fillId="20" borderId="21" xfId="0" applyNumberFormat="1" applyFont="1" applyFill="1" applyBorder="1" applyAlignment="1">
      <alignment vertical="center"/>
    </xf>
    <xf numFmtId="4" fontId="1" fillId="20" borderId="22" xfId="0" applyNumberFormat="1" applyFont="1" applyFill="1" applyBorder="1" applyAlignment="1">
      <alignment vertical="center"/>
    </xf>
    <xf numFmtId="4" fontId="1" fillId="20" borderId="24" xfId="0" applyNumberFormat="1" applyFont="1" applyFill="1" applyBorder="1" applyAlignment="1">
      <alignment vertical="center"/>
    </xf>
    <xf numFmtId="4" fontId="1" fillId="20" borderId="25" xfId="0" applyNumberFormat="1" applyFont="1" applyFill="1" applyBorder="1" applyAlignment="1">
      <alignment vertical="center"/>
    </xf>
    <xf numFmtId="169" fontId="1" fillId="20" borderId="21" xfId="0" applyNumberFormat="1" applyFont="1" applyFill="1" applyBorder="1" applyAlignment="1">
      <alignment horizontal="right" vertical="center"/>
    </xf>
    <xf numFmtId="169" fontId="1" fillId="20" borderId="22" xfId="0" applyNumberFormat="1" applyFont="1" applyFill="1" applyBorder="1" applyAlignment="1">
      <alignment horizontal="right" vertical="center"/>
    </xf>
    <xf numFmtId="169" fontId="1" fillId="20" borderId="21" xfId="0" applyNumberFormat="1" applyFont="1" applyFill="1" applyBorder="1" applyAlignment="1">
      <alignment horizontal="right" vertical="center" wrapText="1"/>
    </xf>
    <xf numFmtId="169" fontId="1" fillId="20" borderId="22" xfId="0" applyNumberFormat="1" applyFont="1" applyFill="1" applyBorder="1" applyAlignment="1">
      <alignment horizontal="right" vertical="center" wrapText="1"/>
    </xf>
    <xf numFmtId="169" fontId="1" fillId="20" borderId="35" xfId="0" applyNumberFormat="1" applyFont="1" applyFill="1" applyBorder="1" applyAlignment="1">
      <alignment horizontal="right" vertical="center" wrapText="1"/>
    </xf>
    <xf numFmtId="169" fontId="1" fillId="20" borderId="36" xfId="0" applyNumberFormat="1" applyFont="1" applyFill="1" applyBorder="1" applyAlignment="1">
      <alignment horizontal="right" vertical="center" wrapText="1"/>
    </xf>
    <xf numFmtId="169" fontId="2" fillId="20" borderId="21" xfId="0" applyNumberFormat="1" applyFont="1" applyFill="1" applyBorder="1" applyAlignment="1">
      <alignment horizontal="right" vertical="center"/>
    </xf>
    <xf numFmtId="169" fontId="2" fillId="20" borderId="22" xfId="0" applyNumberFormat="1" applyFont="1" applyFill="1" applyBorder="1" applyAlignment="1">
      <alignment horizontal="right" vertical="center"/>
    </xf>
    <xf numFmtId="169" fontId="1" fillId="20" borderId="24" xfId="0" applyNumberFormat="1" applyFont="1" applyFill="1" applyBorder="1" applyAlignment="1">
      <alignment horizontal="right" vertical="center" wrapText="1"/>
    </xf>
    <xf numFmtId="169" fontId="1" fillId="20" borderId="25" xfId="0" applyNumberFormat="1" applyFont="1" applyFill="1" applyBorder="1" applyAlignment="1">
      <alignment horizontal="right" vertical="center" wrapText="1"/>
    </xf>
    <xf numFmtId="169" fontId="1" fillId="20" borderId="16" xfId="131" applyNumberFormat="1" applyFont="1" applyFill="1" applyBorder="1" applyAlignment="1">
      <alignment horizontal="right" vertical="center" wrapText="1"/>
      <protection/>
    </xf>
    <xf numFmtId="169" fontId="1" fillId="20" borderId="17" xfId="131" applyNumberFormat="1" applyFont="1" applyFill="1" applyBorder="1" applyAlignment="1">
      <alignment horizontal="right" vertical="center" wrapText="1"/>
      <protection/>
    </xf>
    <xf numFmtId="166" fontId="2" fillId="20" borderId="16" xfId="0" applyNumberFormat="1" applyFont="1" applyFill="1" applyBorder="1" applyAlignment="1">
      <alignment horizontal="right" vertical="center"/>
    </xf>
    <xf numFmtId="166" fontId="2" fillId="20" borderId="17" xfId="0" applyNumberFormat="1" applyFont="1" applyFill="1" applyBorder="1" applyAlignment="1">
      <alignment horizontal="right" vertical="center"/>
    </xf>
    <xf numFmtId="166" fontId="2" fillId="20" borderId="19" xfId="0" applyNumberFormat="1" applyFont="1" applyFill="1" applyBorder="1" applyAlignment="1">
      <alignment vertical="center"/>
    </xf>
    <xf numFmtId="166" fontId="2" fillId="20" borderId="21" xfId="0" applyNumberFormat="1" applyFont="1" applyFill="1" applyBorder="1" applyAlignment="1">
      <alignment vertical="center"/>
    </xf>
    <xf numFmtId="166" fontId="2" fillId="20" borderId="22" xfId="0" applyNumberFormat="1" applyFont="1" applyFill="1" applyBorder="1" applyAlignment="1">
      <alignment vertical="center"/>
    </xf>
    <xf numFmtId="166" fontId="1" fillId="20" borderId="21" xfId="0" applyNumberFormat="1" applyFont="1" applyFill="1" applyBorder="1" applyAlignment="1">
      <alignment horizontal="right" vertical="center"/>
    </xf>
    <xf numFmtId="166" fontId="1" fillId="20" borderId="22" xfId="0" applyNumberFormat="1" applyFont="1" applyFill="1" applyBorder="1" applyAlignment="1">
      <alignment horizontal="right" vertical="center"/>
    </xf>
    <xf numFmtId="166" fontId="1" fillId="20" borderId="21" xfId="0" applyNumberFormat="1" applyFont="1" applyFill="1" applyBorder="1" applyAlignment="1">
      <alignment horizontal="right" vertical="center" wrapText="1"/>
    </xf>
    <xf numFmtId="166" fontId="1" fillId="20" borderId="22" xfId="0" applyNumberFormat="1" applyFont="1" applyFill="1" applyBorder="1" applyAlignment="1">
      <alignment horizontal="right" vertical="center" wrapText="1"/>
    </xf>
    <xf numFmtId="166" fontId="1" fillId="20" borderId="24" xfId="0" applyNumberFormat="1" applyFont="1" applyFill="1" applyBorder="1" applyAlignment="1">
      <alignment horizontal="right" vertical="center" wrapText="1"/>
    </xf>
    <xf numFmtId="166" fontId="1" fillId="20" borderId="25" xfId="0" applyNumberFormat="1" applyFont="1" applyFill="1" applyBorder="1" applyAlignment="1">
      <alignment horizontal="right" vertical="center" wrapText="1"/>
    </xf>
    <xf numFmtId="166" fontId="2" fillId="20" borderId="21" xfId="0" applyNumberFormat="1" applyFont="1" applyFill="1" applyBorder="1" applyAlignment="1">
      <alignment horizontal="right" vertical="center"/>
    </xf>
    <xf numFmtId="166" fontId="2" fillId="20" borderId="2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169" fontId="2" fillId="0" borderId="18" xfId="138" applyNumberFormat="1" applyFont="1" applyFill="1" applyBorder="1" applyAlignment="1">
      <alignment horizontal="right" vertical="center"/>
    </xf>
    <xf numFmtId="169" fontId="2" fillId="0" borderId="16" xfId="138" applyNumberFormat="1" applyFont="1" applyFill="1" applyBorder="1" applyAlignment="1">
      <alignment horizontal="right" vertical="center"/>
    </xf>
    <xf numFmtId="169" fontId="2" fillId="0" borderId="17" xfId="138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169" fontId="2" fillId="0" borderId="23" xfId="138" applyNumberFormat="1" applyFont="1" applyFill="1" applyBorder="1" applyAlignment="1">
      <alignment horizontal="right" vertical="center"/>
    </xf>
    <xf numFmtId="169" fontId="2" fillId="0" borderId="21" xfId="138" applyNumberFormat="1" applyFont="1" applyFill="1" applyBorder="1" applyAlignment="1">
      <alignment horizontal="right" vertical="center"/>
    </xf>
    <xf numFmtId="169" fontId="2" fillId="0" borderId="22" xfId="138" applyNumberFormat="1" applyFont="1" applyFill="1" applyBorder="1" applyAlignment="1">
      <alignment horizontal="right" vertical="center"/>
    </xf>
    <xf numFmtId="166" fontId="2" fillId="0" borderId="18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166" fontId="2" fillId="0" borderId="22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10" fontId="1" fillId="0" borderId="18" xfId="0" applyNumberFormat="1" applyFont="1" applyFill="1" applyBorder="1" applyAlignment="1">
      <alignment vertical="center"/>
    </xf>
    <xf numFmtId="10" fontId="1" fillId="0" borderId="16" xfId="0" applyNumberFormat="1" applyFont="1" applyFill="1" applyBorder="1" applyAlignment="1">
      <alignment vertical="center"/>
    </xf>
    <xf numFmtId="10" fontId="1" fillId="0" borderId="17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10" fontId="1" fillId="0" borderId="26" xfId="0" applyNumberFormat="1" applyFont="1" applyFill="1" applyBorder="1" applyAlignment="1">
      <alignment vertical="center"/>
    </xf>
    <xf numFmtId="10" fontId="1" fillId="0" borderId="24" xfId="0" applyNumberFormat="1" applyFont="1" applyFill="1" applyBorder="1" applyAlignment="1">
      <alignment vertical="center"/>
    </xf>
    <xf numFmtId="10" fontId="1" fillId="0" borderId="25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0" fillId="0" borderId="37" xfId="0" applyFont="1" applyBorder="1" applyAlignment="1" applyProtection="1">
      <alignment vertical="center" wrapText="1"/>
      <protection locked="0"/>
    </xf>
    <xf numFmtId="0" fontId="26" fillId="0" borderId="37" xfId="0" applyFont="1" applyBorder="1" applyAlignment="1" applyProtection="1">
      <alignment horizontal="center" vertical="center" wrapText="1"/>
      <protection locked="0"/>
    </xf>
    <xf numFmtId="0" fontId="1" fillId="0" borderId="23" xfId="131" applyNumberFormat="1" applyFont="1" applyFill="1" applyBorder="1" applyAlignment="1">
      <alignment horizontal="center" vertical="center" shrinkToFit="1"/>
      <protection/>
    </xf>
    <xf numFmtId="0" fontId="1" fillId="0" borderId="21" xfId="131" applyNumberFormat="1" applyFont="1" applyFill="1" applyBorder="1" applyAlignment="1">
      <alignment horizontal="center" vertical="center" shrinkToFit="1"/>
      <protection/>
    </xf>
    <xf numFmtId="0" fontId="1" fillId="0" borderId="22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37" xfId="0" applyFont="1" applyFill="1" applyBorder="1" applyAlignment="1" applyProtection="1">
      <alignment vertical="center"/>
      <protection locked="0"/>
    </xf>
    <xf numFmtId="0" fontId="33" fillId="0" borderId="37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1" fillId="20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49" fontId="26" fillId="20" borderId="27" xfId="131" applyNumberFormat="1" applyFont="1" applyFill="1" applyBorder="1" applyAlignment="1">
      <alignment horizontal="center" vertical="center"/>
      <protection/>
    </xf>
    <xf numFmtId="49" fontId="26" fillId="20" borderId="38" xfId="131" applyNumberFormat="1" applyFont="1" applyFill="1" applyBorder="1" applyAlignment="1">
      <alignment horizontal="center"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left" vertical="center" wrapText="1" indent="3"/>
    </xf>
    <xf numFmtId="0" fontId="58" fillId="0" borderId="31" xfId="134" applyFont="1" applyBorder="1" applyAlignment="1">
      <alignment vertical="center"/>
      <protection/>
    </xf>
    <xf numFmtId="0" fontId="58" fillId="0" borderId="38" xfId="134" applyFont="1" applyBorder="1" applyAlignment="1">
      <alignment vertical="center"/>
      <protection/>
    </xf>
    <xf numFmtId="0" fontId="58" fillId="0" borderId="32" xfId="134" applyFont="1" applyBorder="1" applyAlignment="1">
      <alignment vertical="center"/>
      <protection/>
    </xf>
    <xf numFmtId="0" fontId="58" fillId="0" borderId="30" xfId="134" applyFont="1" applyBorder="1" applyAlignment="1">
      <alignment vertical="center"/>
      <protection/>
    </xf>
    <xf numFmtId="0" fontId="58" fillId="0" borderId="33" xfId="134" applyFont="1" applyBorder="1" applyAlignment="1">
      <alignment vertical="center"/>
      <protection/>
    </xf>
    <xf numFmtId="0" fontId="58" fillId="0" borderId="39" xfId="134" applyFont="1" applyBorder="1" applyAlignment="1">
      <alignment vertical="center"/>
      <protection/>
    </xf>
    <xf numFmtId="0" fontId="2" fillId="0" borderId="28" xfId="0" applyFont="1" applyBorder="1" applyAlignment="1" applyProtection="1">
      <alignment horizontal="left" vertical="center" wrapText="1" indent="2"/>
      <protection locked="0"/>
    </xf>
    <xf numFmtId="0" fontId="1" fillId="0" borderId="39" xfId="0" applyFont="1" applyBorder="1" applyAlignment="1">
      <alignment horizontal="left" vertical="center" wrapText="1" indent="1"/>
    </xf>
    <xf numFmtId="0" fontId="59" fillId="0" borderId="32" xfId="134" applyFont="1" applyBorder="1" applyAlignment="1">
      <alignment vertical="center"/>
      <protection/>
    </xf>
    <xf numFmtId="4" fontId="1" fillId="2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59" fillId="0" borderId="30" xfId="134" applyFont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10" fontId="1" fillId="20" borderId="15" xfId="0" applyNumberFormat="1" applyFont="1" applyFill="1" applyBorder="1" applyAlignment="1">
      <alignment horizontal="center" vertical="center"/>
    </xf>
    <xf numFmtId="10" fontId="1" fillId="20" borderId="16" xfId="0" applyNumberFormat="1" applyFont="1" applyFill="1" applyBorder="1" applyAlignment="1">
      <alignment horizontal="center" vertical="center"/>
    </xf>
    <xf numFmtId="10" fontId="1" fillId="20" borderId="17" xfId="0" applyNumberFormat="1" applyFont="1" applyFill="1" applyBorder="1" applyAlignment="1">
      <alignment horizontal="center" vertical="center"/>
    </xf>
    <xf numFmtId="10" fontId="1" fillId="20" borderId="20" xfId="0" applyNumberFormat="1" applyFont="1" applyFill="1" applyBorder="1" applyAlignment="1">
      <alignment horizontal="center" vertical="center"/>
    </xf>
    <xf numFmtId="10" fontId="1" fillId="20" borderId="24" xfId="0" applyNumberFormat="1" applyFont="1" applyFill="1" applyBorder="1" applyAlignment="1">
      <alignment horizontal="center" vertical="center"/>
    </xf>
    <xf numFmtId="10" fontId="1" fillId="20" borderId="25" xfId="0" applyNumberFormat="1" applyFont="1" applyFill="1" applyBorder="1" applyAlignment="1">
      <alignment horizontal="center" vertical="center"/>
    </xf>
    <xf numFmtId="169" fontId="2" fillId="20" borderId="15" xfId="0" applyNumberFormat="1" applyFont="1" applyFill="1" applyBorder="1" applyAlignment="1">
      <alignment horizontal="center" vertical="center"/>
    </xf>
    <xf numFmtId="169" fontId="1" fillId="20" borderId="19" xfId="0" applyNumberFormat="1" applyFont="1" applyFill="1" applyBorder="1" applyAlignment="1">
      <alignment horizontal="center" vertical="center"/>
    </xf>
    <xf numFmtId="169" fontId="1" fillId="20" borderId="19" xfId="0" applyNumberFormat="1" applyFont="1" applyFill="1" applyBorder="1" applyAlignment="1">
      <alignment horizontal="center" vertical="center" wrapText="1"/>
    </xf>
    <xf numFmtId="169" fontId="1" fillId="20" borderId="40" xfId="0" applyNumberFormat="1" applyFont="1" applyFill="1" applyBorder="1" applyAlignment="1">
      <alignment horizontal="center" vertical="center" wrapText="1"/>
    </xf>
    <xf numFmtId="169" fontId="2" fillId="20" borderId="19" xfId="0" applyNumberFormat="1" applyFont="1" applyFill="1" applyBorder="1" applyAlignment="1">
      <alignment horizontal="center" vertical="center"/>
    </xf>
    <xf numFmtId="169" fontId="1" fillId="20" borderId="20" xfId="0" applyNumberFormat="1" applyFont="1" applyFill="1" applyBorder="1" applyAlignment="1">
      <alignment horizontal="center" vertical="center" wrapText="1"/>
    </xf>
    <xf numFmtId="166" fontId="2" fillId="20" borderId="15" xfId="0" applyNumberFormat="1" applyFont="1" applyFill="1" applyBorder="1" applyAlignment="1">
      <alignment horizontal="center" vertical="center"/>
    </xf>
    <xf numFmtId="166" fontId="1" fillId="20" borderId="19" xfId="0" applyNumberFormat="1" applyFont="1" applyFill="1" applyBorder="1" applyAlignment="1">
      <alignment horizontal="center" vertical="center"/>
    </xf>
    <xf numFmtId="166" fontId="1" fillId="20" borderId="19" xfId="0" applyNumberFormat="1" applyFont="1" applyFill="1" applyBorder="1" applyAlignment="1">
      <alignment horizontal="center" vertical="center" wrapText="1"/>
    </xf>
    <xf numFmtId="166" fontId="1" fillId="20" borderId="20" xfId="0" applyNumberFormat="1" applyFont="1" applyFill="1" applyBorder="1" applyAlignment="1">
      <alignment horizontal="center" vertical="center" wrapText="1"/>
    </xf>
    <xf numFmtId="166" fontId="2" fillId="20" borderId="19" xfId="0" applyNumberFormat="1" applyFont="1" applyFill="1" applyBorder="1" applyAlignment="1">
      <alignment horizontal="center" vertical="center"/>
    </xf>
    <xf numFmtId="169" fontId="2" fillId="20" borderId="15" xfId="131" applyNumberFormat="1" applyFont="1" applyFill="1" applyBorder="1" applyAlignment="1">
      <alignment horizontal="center" vertical="center" wrapText="1"/>
      <protection/>
    </xf>
    <xf numFmtId="169" fontId="1" fillId="20" borderId="19" xfId="131" applyNumberFormat="1" applyFont="1" applyFill="1" applyBorder="1" applyAlignment="1">
      <alignment horizontal="center" vertical="center" wrapText="1"/>
      <protection/>
    </xf>
    <xf numFmtId="169" fontId="2" fillId="20" borderId="19" xfId="131" applyNumberFormat="1" applyFont="1" applyFill="1" applyBorder="1" applyAlignment="1">
      <alignment horizontal="center" vertical="center" wrapText="1"/>
      <protection/>
    </xf>
    <xf numFmtId="169" fontId="2" fillId="20" borderId="20" xfId="131" applyNumberFormat="1" applyFont="1" applyFill="1" applyBorder="1" applyAlignment="1">
      <alignment horizontal="center" vertical="center" wrapText="1"/>
      <protection/>
    </xf>
    <xf numFmtId="169" fontId="1" fillId="20" borderId="20" xfId="131" applyNumberFormat="1" applyFont="1" applyFill="1" applyBorder="1" applyAlignment="1">
      <alignment horizontal="center" vertical="center" wrapText="1"/>
      <protection/>
    </xf>
    <xf numFmtId="169" fontId="1" fillId="20" borderId="15" xfId="131" applyNumberFormat="1" applyFont="1" applyFill="1" applyBorder="1" applyAlignment="1">
      <alignment horizontal="center" vertical="center" wrapText="1"/>
      <protection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19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4" fontId="1" fillId="20" borderId="21" xfId="0" applyNumberFormat="1" applyFont="1" applyFill="1" applyBorder="1" applyAlignment="1">
      <alignment horizontal="center" vertical="center"/>
    </xf>
    <xf numFmtId="4" fontId="1" fillId="20" borderId="24" xfId="0" applyNumberFormat="1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169" fontId="2" fillId="0" borderId="0" xfId="14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6" fillId="0" borderId="37" xfId="0" applyFont="1" applyBorder="1" applyAlignment="1" applyProtection="1">
      <alignment horizontal="center" vertical="center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35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M253"/>
  <sheetViews>
    <sheetView tabSelected="1" zoomScale="90" zoomScaleNormal="90" zoomScaleSheetLayoutView="100" zoomScalePageLayoutView="0" workbookViewId="0" topLeftCell="A1">
      <pane xSplit="4" ySplit="9" topLeftCell="I4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IV7"/>
    </sheetView>
  </sheetViews>
  <sheetFormatPr defaultColWidth="8.796875" defaultRowHeight="14.25" outlineLevelRow="3" outlineLevelCol="1"/>
  <cols>
    <col min="1" max="1" width="4.19921875" style="298" hidden="1" customWidth="1" outlineLevel="1"/>
    <col min="2" max="2" width="6.59765625" style="1" customWidth="1" collapsed="1"/>
    <col min="3" max="3" width="7.19921875" style="1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2" width="14" style="1" customWidth="1"/>
    <col min="23" max="38" width="14" style="1" hidden="1" customWidth="1"/>
  </cols>
  <sheetData>
    <row r="1" spans="2:39" ht="14.25" hidden="1">
      <c r="B1" s="141" t="s">
        <v>401</v>
      </c>
      <c r="C1" s="141"/>
      <c r="D1" s="120"/>
      <c r="E1" s="119"/>
      <c r="F1" s="119"/>
      <c r="G1" s="119"/>
      <c r="H1" s="119"/>
      <c r="I1" s="121" t="s">
        <v>271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20"/>
    </row>
    <row r="2" spans="2:39" ht="15" hidden="1">
      <c r="B2" s="142" t="s">
        <v>400</v>
      </c>
      <c r="C2" s="142"/>
      <c r="D2" s="143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20"/>
    </row>
    <row r="3" spans="2:39" ht="14.25" hidden="1">
      <c r="B3" s="120"/>
      <c r="C3" s="120"/>
      <c r="D3" s="120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20"/>
    </row>
    <row r="4" spans="2:39" ht="15" hidden="1">
      <c r="B4" s="119"/>
      <c r="C4" s="119"/>
      <c r="D4" s="121"/>
      <c r="E4" s="119"/>
      <c r="F4" s="119"/>
      <c r="G4" s="119"/>
      <c r="H4" s="119"/>
      <c r="I4" s="145" t="s">
        <v>407</v>
      </c>
      <c r="J4" s="124" t="str">
        <f>DaneZrodlowe!B4</f>
        <v>Uch. RPW</v>
      </c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</row>
    <row r="5" spans="5:39" ht="15" hidden="1">
      <c r="E5" s="126"/>
      <c r="F5" s="140"/>
      <c r="G5" s="146"/>
      <c r="H5" s="126"/>
      <c r="I5" s="123" t="s">
        <v>17</v>
      </c>
      <c r="J5" s="61" t="str">
        <f>DaneZrodlowe!C4</f>
        <v>wrocławski</v>
      </c>
      <c r="K5" s="126"/>
      <c r="L5" s="119"/>
      <c r="M5" s="126"/>
      <c r="N5" s="144"/>
      <c r="O5" s="144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20"/>
    </row>
    <row r="6" spans="5:39" ht="15" hidden="1">
      <c r="E6" s="338" t="s">
        <v>442</v>
      </c>
      <c r="F6" s="338" t="s">
        <v>443</v>
      </c>
      <c r="G6" s="338" t="s">
        <v>446</v>
      </c>
      <c r="H6" s="338" t="s">
        <v>444</v>
      </c>
      <c r="I6" s="125" t="s">
        <v>18</v>
      </c>
      <c r="J6" s="62" t="str">
        <f>CONCATENATE(DaneZrodlowe!M1," - ",DaneZrodlowe!P1)</f>
        <v>2013 - 2026</v>
      </c>
      <c r="K6" s="126"/>
      <c r="L6" s="118"/>
      <c r="M6" s="126"/>
      <c r="N6" s="144"/>
      <c r="O6" s="144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20"/>
    </row>
    <row r="7" spans="5:39" ht="14.25" hidden="1">
      <c r="E7" s="338"/>
      <c r="F7" s="338"/>
      <c r="G7" s="338"/>
      <c r="H7" s="338"/>
      <c r="K7" s="126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20"/>
    </row>
    <row r="8" spans="2:39" ht="15.75">
      <c r="B8" s="119"/>
      <c r="C8" s="119"/>
      <c r="D8" s="126"/>
      <c r="E8" s="342" t="s">
        <v>413</v>
      </c>
      <c r="F8" s="342"/>
      <c r="G8" s="255" t="s">
        <v>412</v>
      </c>
      <c r="H8" s="255" t="s">
        <v>413</v>
      </c>
      <c r="I8" s="263" t="str">
        <f>"Załącznik Nr 1 do uchwały Rady Powiatu Wrocławskiego Nr XVIII/162/13 z dnia 26 czerwca 2013 r."</f>
        <v>Załącznik Nr 1 do uchwały Rady Powiatu Wrocławskiego Nr XVIII/162/13 z dnia 26 czerwca 2013 r.</v>
      </c>
      <c r="J8" s="254"/>
      <c r="K8" s="254"/>
      <c r="L8" s="254"/>
      <c r="M8" s="254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20"/>
    </row>
    <row r="9" spans="1:39" ht="14.25">
      <c r="A9" s="302" t="s">
        <v>441</v>
      </c>
      <c r="B9" s="38" t="s">
        <v>0</v>
      </c>
      <c r="C9" s="281"/>
      <c r="D9" s="280" t="s">
        <v>1</v>
      </c>
      <c r="E9" s="89" t="s">
        <v>409</v>
      </c>
      <c r="F9" s="44" t="s">
        <v>410</v>
      </c>
      <c r="G9" s="44" t="s">
        <v>411</v>
      </c>
      <c r="H9" s="45" t="s">
        <v>411</v>
      </c>
      <c r="I9" s="43">
        <f>+definicja!E9</f>
        <v>2013</v>
      </c>
      <c r="J9" s="39">
        <f>+definicja!F9</f>
        <v>2014</v>
      </c>
      <c r="K9" s="39">
        <f>+definicja!G9</f>
        <v>2015</v>
      </c>
      <c r="L9" s="39">
        <f>+definicja!H9</f>
        <v>2016</v>
      </c>
      <c r="M9" s="39">
        <f>+definicja!I9</f>
        <v>2017</v>
      </c>
      <c r="N9" s="39">
        <f>+definicja!J9</f>
        <v>2018</v>
      </c>
      <c r="O9" s="39">
        <f>+definicja!K9</f>
        <v>2019</v>
      </c>
      <c r="P9" s="39">
        <f>+definicja!L9</f>
        <v>2020</v>
      </c>
      <c r="Q9" s="39">
        <f>+definicja!M9</f>
        <v>2021</v>
      </c>
      <c r="R9" s="39">
        <f>+definicja!N9</f>
        <v>2022</v>
      </c>
      <c r="S9" s="39">
        <f>+definicja!O9</f>
        <v>2023</v>
      </c>
      <c r="T9" s="39">
        <f>+definicja!P9</f>
        <v>2024</v>
      </c>
      <c r="U9" s="39">
        <f>+definicja!Q9</f>
        <v>2025</v>
      </c>
      <c r="V9" s="39">
        <f>+definicja!R9</f>
        <v>2026</v>
      </c>
      <c r="W9" s="39">
        <f>+definicja!S9</f>
        <v>2027</v>
      </c>
      <c r="X9" s="39">
        <f>+definicja!T9</f>
        <v>2028</v>
      </c>
      <c r="Y9" s="39">
        <f>+definicja!U9</f>
        <v>2029</v>
      </c>
      <c r="Z9" s="39">
        <f>+definicja!V9</f>
        <v>2030</v>
      </c>
      <c r="AA9" s="39">
        <f>+definicja!W9</f>
        <v>2031</v>
      </c>
      <c r="AB9" s="39">
        <f>+definicja!X9</f>
        <v>2032</v>
      </c>
      <c r="AC9" s="39">
        <f>+definicja!Y9</f>
        <v>2033</v>
      </c>
      <c r="AD9" s="39">
        <f>+definicja!Z9</f>
        <v>2034</v>
      </c>
      <c r="AE9" s="39">
        <f>+definicja!AA9</f>
        <v>2035</v>
      </c>
      <c r="AF9" s="39">
        <f>+definicja!AB9</f>
        <v>2036</v>
      </c>
      <c r="AG9" s="39">
        <f>+definicja!AC9</f>
        <v>2037</v>
      </c>
      <c r="AH9" s="39">
        <f>+definicja!AD9</f>
        <v>2038</v>
      </c>
      <c r="AI9" s="39">
        <f>+definicja!AE9</f>
        <v>2039</v>
      </c>
      <c r="AJ9" s="39">
        <f>+definicja!AF9</f>
        <v>2040</v>
      </c>
      <c r="AK9" s="39">
        <f>+definicja!AG9</f>
        <v>2041</v>
      </c>
      <c r="AL9" s="40">
        <f>+definicja!AH9</f>
        <v>2042</v>
      </c>
      <c r="AM9" s="41"/>
    </row>
    <row r="10" spans="1:39" ht="15" customHeight="1" outlineLevel="1">
      <c r="A10" s="298" t="s">
        <v>31</v>
      </c>
      <c r="B10" s="46">
        <v>1</v>
      </c>
      <c r="C10" s="299"/>
      <c r="D10" s="283" t="s">
        <v>26</v>
      </c>
      <c r="E10" s="90">
        <f>82775258</f>
        <v>82775258</v>
      </c>
      <c r="F10" s="49">
        <f>81499993</f>
        <v>81499993</v>
      </c>
      <c r="G10" s="49">
        <f>90042950</f>
        <v>90042950</v>
      </c>
      <c r="H10" s="50">
        <f>91273113</f>
        <v>91273113</v>
      </c>
      <c r="I10" s="51">
        <f>107375761</f>
        <v>107375761</v>
      </c>
      <c r="J10" s="52">
        <f>97368829</f>
        <v>97368829</v>
      </c>
      <c r="K10" s="52">
        <f>92156058</f>
        <v>92156058</v>
      </c>
      <c r="L10" s="52">
        <f>86856470</f>
        <v>86856470</v>
      </c>
      <c r="M10" s="52">
        <f>81955313</f>
        <v>81955313</v>
      </c>
      <c r="N10" s="52">
        <f>82849468</f>
        <v>82849468</v>
      </c>
      <c r="O10" s="52">
        <f>83340975</f>
        <v>83340975</v>
      </c>
      <c r="P10" s="52">
        <f>84280681</f>
        <v>84280681</v>
      </c>
      <c r="Q10" s="52">
        <f>85221748</f>
        <v>85221748</v>
      </c>
      <c r="R10" s="52">
        <f>85813281</f>
        <v>85813281</v>
      </c>
      <c r="S10" s="52">
        <f>86779531</f>
        <v>86779531</v>
      </c>
      <c r="T10" s="52">
        <f>87745781</f>
        <v>87745781</v>
      </c>
      <c r="U10" s="52">
        <f>88660000</f>
        <v>88660000</v>
      </c>
      <c r="V10" s="52">
        <f>89660000</f>
        <v>89660000</v>
      </c>
      <c r="W10" s="52">
        <f>0</f>
        <v>0</v>
      </c>
      <c r="X10" s="52">
        <f>0</f>
        <v>0</v>
      </c>
      <c r="Y10" s="52">
        <f>0</f>
        <v>0</v>
      </c>
      <c r="Z10" s="52">
        <f>0</f>
        <v>0</v>
      </c>
      <c r="AA10" s="52">
        <f>0</f>
        <v>0</v>
      </c>
      <c r="AB10" s="52">
        <f>0</f>
        <v>0</v>
      </c>
      <c r="AC10" s="52">
        <f>0</f>
        <v>0</v>
      </c>
      <c r="AD10" s="52">
        <f>0</f>
        <v>0</v>
      </c>
      <c r="AE10" s="52">
        <f>0</f>
        <v>0</v>
      </c>
      <c r="AF10" s="52">
        <f>0</f>
        <v>0</v>
      </c>
      <c r="AG10" s="52">
        <f>0</f>
        <v>0</v>
      </c>
      <c r="AH10" s="52">
        <f>0</f>
        <v>0</v>
      </c>
      <c r="AI10" s="52">
        <f>0</f>
        <v>0</v>
      </c>
      <c r="AJ10" s="52">
        <f>0</f>
        <v>0</v>
      </c>
      <c r="AK10" s="52">
        <f>0</f>
        <v>0</v>
      </c>
      <c r="AL10" s="53">
        <f>0</f>
        <v>0</v>
      </c>
      <c r="AM10" s="42"/>
    </row>
    <row r="11" spans="1:38" ht="15" customHeight="1" outlineLevel="2">
      <c r="A11" s="298" t="s">
        <v>31</v>
      </c>
      <c r="B11" s="47" t="s">
        <v>161</v>
      </c>
      <c r="C11" s="284"/>
      <c r="D11" s="285" t="s">
        <v>223</v>
      </c>
      <c r="E11" s="91">
        <f>72404014</f>
        <v>72404014</v>
      </c>
      <c r="F11" s="54">
        <f>74955571</f>
        <v>74955571</v>
      </c>
      <c r="G11" s="54">
        <f>76198060</f>
        <v>76198060</v>
      </c>
      <c r="H11" s="55">
        <f>77696488</f>
        <v>77696488</v>
      </c>
      <c r="I11" s="56">
        <f>83282933</f>
        <v>83282933</v>
      </c>
      <c r="J11" s="57">
        <f>77248907</f>
        <v>77248907</v>
      </c>
      <c r="K11" s="57">
        <f>78556058</f>
        <v>78556058</v>
      </c>
      <c r="L11" s="57">
        <f>79356470</f>
        <v>79356470</v>
      </c>
      <c r="M11" s="57">
        <f>80295313</f>
        <v>80295313</v>
      </c>
      <c r="N11" s="57">
        <f>81189468</f>
        <v>81189468</v>
      </c>
      <c r="O11" s="57">
        <f>82180975</f>
        <v>82180975</v>
      </c>
      <c r="P11" s="57">
        <f>83120681</f>
        <v>83120681</v>
      </c>
      <c r="Q11" s="57">
        <f>84061748</f>
        <v>84061748</v>
      </c>
      <c r="R11" s="57">
        <f>84653281</f>
        <v>84653281</v>
      </c>
      <c r="S11" s="57">
        <f>85619531</f>
        <v>85619531</v>
      </c>
      <c r="T11" s="57">
        <f>86585781</f>
        <v>86585781</v>
      </c>
      <c r="U11" s="57">
        <f>87500000</f>
        <v>87500000</v>
      </c>
      <c r="V11" s="57">
        <f>88500000</f>
        <v>88500000</v>
      </c>
      <c r="W11" s="57">
        <f>0</f>
        <v>0</v>
      </c>
      <c r="X11" s="57">
        <f>0</f>
        <v>0</v>
      </c>
      <c r="Y11" s="57">
        <f>0</f>
        <v>0</v>
      </c>
      <c r="Z11" s="57">
        <f>0</f>
        <v>0</v>
      </c>
      <c r="AA11" s="57">
        <f>0</f>
        <v>0</v>
      </c>
      <c r="AB11" s="57">
        <f>0</f>
        <v>0</v>
      </c>
      <c r="AC11" s="57">
        <f>0</f>
        <v>0</v>
      </c>
      <c r="AD11" s="57">
        <f>0</f>
        <v>0</v>
      </c>
      <c r="AE11" s="57">
        <f>0</f>
        <v>0</v>
      </c>
      <c r="AF11" s="57">
        <f>0</f>
        <v>0</v>
      </c>
      <c r="AG11" s="57">
        <f>0</f>
        <v>0</v>
      </c>
      <c r="AH11" s="57">
        <f>0</f>
        <v>0</v>
      </c>
      <c r="AI11" s="57">
        <f>0</f>
        <v>0</v>
      </c>
      <c r="AJ11" s="57">
        <f>0</f>
        <v>0</v>
      </c>
      <c r="AK11" s="57">
        <f>0</f>
        <v>0</v>
      </c>
      <c r="AL11" s="58">
        <f>0</f>
        <v>0</v>
      </c>
    </row>
    <row r="12" spans="2:38" ht="15" customHeight="1" outlineLevel="3">
      <c r="B12" s="47" t="s">
        <v>41</v>
      </c>
      <c r="C12" s="284"/>
      <c r="D12" s="286" t="s">
        <v>212</v>
      </c>
      <c r="E12" s="91">
        <f>21370826</f>
        <v>21370826</v>
      </c>
      <c r="F12" s="54">
        <f>23367142</f>
        <v>23367142</v>
      </c>
      <c r="G12" s="54">
        <f>27292434</f>
        <v>27292434</v>
      </c>
      <c r="H12" s="55">
        <f>26534995</f>
        <v>26534995</v>
      </c>
      <c r="I12" s="56">
        <f>30202284</f>
        <v>30202284</v>
      </c>
      <c r="J12" s="57">
        <f>27000000</f>
        <v>27000000</v>
      </c>
      <c r="K12" s="57">
        <f>28000000</f>
        <v>28000000</v>
      </c>
      <c r="L12" s="57">
        <f>29000000</f>
        <v>29000000</v>
      </c>
      <c r="M12" s="57">
        <f>30000000</f>
        <v>30000000</v>
      </c>
      <c r="N12" s="57">
        <f>30500000</f>
        <v>30500000</v>
      </c>
      <c r="O12" s="57">
        <f>31000000</f>
        <v>31000000</v>
      </c>
      <c r="P12" s="57">
        <f>31500000</f>
        <v>31500000</v>
      </c>
      <c r="Q12" s="57">
        <f>32000000</f>
        <v>32000000</v>
      </c>
      <c r="R12" s="57">
        <f>32500000</f>
        <v>32500000</v>
      </c>
      <c r="S12" s="57">
        <f>33000000</f>
        <v>33000000</v>
      </c>
      <c r="T12" s="57">
        <f>33500000</f>
        <v>33500000</v>
      </c>
      <c r="U12" s="57">
        <f>34000000</f>
        <v>34000000</v>
      </c>
      <c r="V12" s="57">
        <f>34500000</f>
        <v>34500000</v>
      </c>
      <c r="W12" s="57">
        <f>0</f>
        <v>0</v>
      </c>
      <c r="X12" s="57">
        <f>0</f>
        <v>0</v>
      </c>
      <c r="Y12" s="57">
        <f>0</f>
        <v>0</v>
      </c>
      <c r="Z12" s="57">
        <f>0</f>
        <v>0</v>
      </c>
      <c r="AA12" s="57">
        <f>0</f>
        <v>0</v>
      </c>
      <c r="AB12" s="57">
        <f>0</f>
        <v>0</v>
      </c>
      <c r="AC12" s="57">
        <f>0</f>
        <v>0</v>
      </c>
      <c r="AD12" s="57">
        <f>0</f>
        <v>0</v>
      </c>
      <c r="AE12" s="57">
        <f>0</f>
        <v>0</v>
      </c>
      <c r="AF12" s="57">
        <f>0</f>
        <v>0</v>
      </c>
      <c r="AG12" s="57">
        <f>0</f>
        <v>0</v>
      </c>
      <c r="AH12" s="57">
        <f>0</f>
        <v>0</v>
      </c>
      <c r="AI12" s="57">
        <f>0</f>
        <v>0</v>
      </c>
      <c r="AJ12" s="57">
        <f>0</f>
        <v>0</v>
      </c>
      <c r="AK12" s="57">
        <f>0</f>
        <v>0</v>
      </c>
      <c r="AL12" s="58">
        <f>0</f>
        <v>0</v>
      </c>
    </row>
    <row r="13" spans="2:38" ht="15" customHeight="1" outlineLevel="3">
      <c r="B13" s="47" t="s">
        <v>43</v>
      </c>
      <c r="C13" s="284"/>
      <c r="D13" s="286" t="s">
        <v>213</v>
      </c>
      <c r="E13" s="91">
        <f>1618865</f>
        <v>1618865</v>
      </c>
      <c r="F13" s="54">
        <f>2112970</f>
        <v>2112970</v>
      </c>
      <c r="G13" s="54">
        <f>1799724</f>
        <v>1799724</v>
      </c>
      <c r="H13" s="55">
        <f>2480871</f>
        <v>2480871</v>
      </c>
      <c r="I13" s="56">
        <f>2283136</f>
        <v>2283136</v>
      </c>
      <c r="J13" s="57">
        <f>2450000</f>
        <v>2450000</v>
      </c>
      <c r="K13" s="57">
        <f>2500000</f>
        <v>2500000</v>
      </c>
      <c r="L13" s="57">
        <f>2550000</f>
        <v>2550000</v>
      </c>
      <c r="M13" s="57">
        <f>2600000</f>
        <v>2600000</v>
      </c>
      <c r="N13" s="57">
        <f>2650000</f>
        <v>2650000</v>
      </c>
      <c r="O13" s="57">
        <f>2700000</f>
        <v>2700000</v>
      </c>
      <c r="P13" s="57">
        <f>2750000</f>
        <v>2750000</v>
      </c>
      <c r="Q13" s="57">
        <f>2800000</f>
        <v>2800000</v>
      </c>
      <c r="R13" s="57">
        <f>2850000</f>
        <v>2850000</v>
      </c>
      <c r="S13" s="57">
        <f>2900000</f>
        <v>2900000</v>
      </c>
      <c r="T13" s="57">
        <f>2950000</f>
        <v>2950000</v>
      </c>
      <c r="U13" s="57">
        <f>3000000</f>
        <v>3000000</v>
      </c>
      <c r="V13" s="57">
        <f>3050000</f>
        <v>3050000</v>
      </c>
      <c r="W13" s="57">
        <f>0</f>
        <v>0</v>
      </c>
      <c r="X13" s="57">
        <f>0</f>
        <v>0</v>
      </c>
      <c r="Y13" s="57">
        <f>0</f>
        <v>0</v>
      </c>
      <c r="Z13" s="57">
        <f>0</f>
        <v>0</v>
      </c>
      <c r="AA13" s="57">
        <f>0</f>
        <v>0</v>
      </c>
      <c r="AB13" s="57">
        <f>0</f>
        <v>0</v>
      </c>
      <c r="AC13" s="57">
        <f>0</f>
        <v>0</v>
      </c>
      <c r="AD13" s="57">
        <f>0</f>
        <v>0</v>
      </c>
      <c r="AE13" s="57">
        <f>0</f>
        <v>0</v>
      </c>
      <c r="AF13" s="57">
        <f>0</f>
        <v>0</v>
      </c>
      <c r="AG13" s="57">
        <f>0</f>
        <v>0</v>
      </c>
      <c r="AH13" s="57">
        <f>0</f>
        <v>0</v>
      </c>
      <c r="AI13" s="57">
        <f>0</f>
        <v>0</v>
      </c>
      <c r="AJ13" s="57">
        <f>0</f>
        <v>0</v>
      </c>
      <c r="AK13" s="57">
        <f>0</f>
        <v>0</v>
      </c>
      <c r="AL13" s="58">
        <f>0</f>
        <v>0</v>
      </c>
    </row>
    <row r="14" spans="2:38" ht="15" customHeight="1" outlineLevel="3">
      <c r="B14" s="47" t="s">
        <v>45</v>
      </c>
      <c r="C14" s="284"/>
      <c r="D14" s="286" t="s">
        <v>217</v>
      </c>
      <c r="E14" s="91">
        <f>4343726</f>
        <v>4343726</v>
      </c>
      <c r="F14" s="54">
        <f>7032895</f>
        <v>7032895</v>
      </c>
      <c r="G14" s="54">
        <f>7100000</f>
        <v>7100000</v>
      </c>
      <c r="H14" s="55">
        <f>6995921</f>
        <v>6995921</v>
      </c>
      <c r="I14" s="56">
        <f>7733000</f>
        <v>7733000</v>
      </c>
      <c r="J14" s="57">
        <f>7100000</f>
        <v>7100000</v>
      </c>
      <c r="K14" s="57">
        <f>7150000</f>
        <v>7150000</v>
      </c>
      <c r="L14" s="57">
        <f>7200000</f>
        <v>7200000</v>
      </c>
      <c r="M14" s="57">
        <f>7250000</f>
        <v>7250000</v>
      </c>
      <c r="N14" s="57">
        <f>7300000</f>
        <v>7300000</v>
      </c>
      <c r="O14" s="57">
        <f>7350000</f>
        <v>7350000</v>
      </c>
      <c r="P14" s="57">
        <f>7400000</f>
        <v>7400000</v>
      </c>
      <c r="Q14" s="57">
        <f>7450000</f>
        <v>7450000</v>
      </c>
      <c r="R14" s="57">
        <f>7500000</f>
        <v>7500000</v>
      </c>
      <c r="S14" s="57">
        <f>7550000</f>
        <v>7550000</v>
      </c>
      <c r="T14" s="57">
        <f>7600000</f>
        <v>7600000</v>
      </c>
      <c r="U14" s="57">
        <f>7650000</f>
        <v>7650000</v>
      </c>
      <c r="V14" s="57">
        <f>7700000</f>
        <v>7700000</v>
      </c>
      <c r="W14" s="57">
        <f>0</f>
        <v>0</v>
      </c>
      <c r="X14" s="57">
        <f>0</f>
        <v>0</v>
      </c>
      <c r="Y14" s="57">
        <f>0</f>
        <v>0</v>
      </c>
      <c r="Z14" s="57">
        <f>0</f>
        <v>0</v>
      </c>
      <c r="AA14" s="57">
        <f>0</f>
        <v>0</v>
      </c>
      <c r="AB14" s="57">
        <f>0</f>
        <v>0</v>
      </c>
      <c r="AC14" s="57">
        <f>0</f>
        <v>0</v>
      </c>
      <c r="AD14" s="57">
        <f>0</f>
        <v>0</v>
      </c>
      <c r="AE14" s="57">
        <f>0</f>
        <v>0</v>
      </c>
      <c r="AF14" s="57">
        <f>0</f>
        <v>0</v>
      </c>
      <c r="AG14" s="57">
        <f>0</f>
        <v>0</v>
      </c>
      <c r="AH14" s="57">
        <f>0</f>
        <v>0</v>
      </c>
      <c r="AI14" s="57">
        <f>0</f>
        <v>0</v>
      </c>
      <c r="AJ14" s="57">
        <f>0</f>
        <v>0</v>
      </c>
      <c r="AK14" s="57">
        <f>0</f>
        <v>0</v>
      </c>
      <c r="AL14" s="58">
        <f>0</f>
        <v>0</v>
      </c>
    </row>
    <row r="15" spans="2:38" ht="15" customHeight="1" outlineLevel="3">
      <c r="B15" s="47" t="s">
        <v>47</v>
      </c>
      <c r="C15" s="284"/>
      <c r="D15" s="287" t="s">
        <v>214</v>
      </c>
      <c r="E15" s="91">
        <f>0</f>
        <v>0</v>
      </c>
      <c r="F15" s="54">
        <f>0</f>
        <v>0</v>
      </c>
      <c r="G15" s="54">
        <f>0</f>
        <v>0</v>
      </c>
      <c r="H15" s="55">
        <f>0</f>
        <v>0</v>
      </c>
      <c r="I15" s="56">
        <f>0</f>
        <v>0</v>
      </c>
      <c r="J15" s="57">
        <f>0</f>
        <v>0</v>
      </c>
      <c r="K15" s="57">
        <f>0</f>
        <v>0</v>
      </c>
      <c r="L15" s="57">
        <f>0</f>
        <v>0</v>
      </c>
      <c r="M15" s="57">
        <f>0</f>
        <v>0</v>
      </c>
      <c r="N15" s="57">
        <f>0</f>
        <v>0</v>
      </c>
      <c r="O15" s="57">
        <f>0</f>
        <v>0</v>
      </c>
      <c r="P15" s="57">
        <f>0</f>
        <v>0</v>
      </c>
      <c r="Q15" s="57">
        <f>0</f>
        <v>0</v>
      </c>
      <c r="R15" s="57">
        <f>0</f>
        <v>0</v>
      </c>
      <c r="S15" s="57">
        <f>0</f>
        <v>0</v>
      </c>
      <c r="T15" s="57">
        <f>0</f>
        <v>0</v>
      </c>
      <c r="U15" s="57">
        <f>0</f>
        <v>0</v>
      </c>
      <c r="V15" s="57">
        <f>0</f>
        <v>0</v>
      </c>
      <c r="W15" s="57">
        <f>0</f>
        <v>0</v>
      </c>
      <c r="X15" s="57">
        <f>0</f>
        <v>0</v>
      </c>
      <c r="Y15" s="57">
        <f>0</f>
        <v>0</v>
      </c>
      <c r="Z15" s="57">
        <f>0</f>
        <v>0</v>
      </c>
      <c r="AA15" s="57">
        <f>0</f>
        <v>0</v>
      </c>
      <c r="AB15" s="57">
        <f>0</f>
        <v>0</v>
      </c>
      <c r="AC15" s="57">
        <f>0</f>
        <v>0</v>
      </c>
      <c r="AD15" s="57">
        <f>0</f>
        <v>0</v>
      </c>
      <c r="AE15" s="57">
        <f>0</f>
        <v>0</v>
      </c>
      <c r="AF15" s="57">
        <f>0</f>
        <v>0</v>
      </c>
      <c r="AG15" s="57">
        <f>0</f>
        <v>0</v>
      </c>
      <c r="AH15" s="57">
        <f>0</f>
        <v>0</v>
      </c>
      <c r="AI15" s="57">
        <f>0</f>
        <v>0</v>
      </c>
      <c r="AJ15" s="57">
        <f>0</f>
        <v>0</v>
      </c>
      <c r="AK15" s="57">
        <f>0</f>
        <v>0</v>
      </c>
      <c r="AL15" s="58">
        <f>0</f>
        <v>0</v>
      </c>
    </row>
    <row r="16" spans="2:38" ht="15" customHeight="1" outlineLevel="3">
      <c r="B16" s="47" t="s">
        <v>49</v>
      </c>
      <c r="C16" s="284"/>
      <c r="D16" s="286" t="s">
        <v>215</v>
      </c>
      <c r="E16" s="91">
        <f>21442376</f>
        <v>21442376</v>
      </c>
      <c r="F16" s="54">
        <f>23883927</f>
        <v>23883927</v>
      </c>
      <c r="G16" s="54">
        <f>24778177</f>
        <v>24778177</v>
      </c>
      <c r="H16" s="55">
        <f>24969766</f>
        <v>24969766</v>
      </c>
      <c r="I16" s="56">
        <f>24997891</f>
        <v>24997891</v>
      </c>
      <c r="J16" s="57">
        <f>25100000</f>
        <v>25100000</v>
      </c>
      <c r="K16" s="57">
        <f>25200000</f>
        <v>25200000</v>
      </c>
      <c r="L16" s="57">
        <f>25300000</f>
        <v>25300000</v>
      </c>
      <c r="M16" s="57">
        <f>25400000</f>
        <v>25400000</v>
      </c>
      <c r="N16" s="57">
        <f>25500000</f>
        <v>25500000</v>
      </c>
      <c r="O16" s="57">
        <f>25600000</f>
        <v>25600000</v>
      </c>
      <c r="P16" s="57">
        <f>25700000</f>
        <v>25700000</v>
      </c>
      <c r="Q16" s="57">
        <f>25800000</f>
        <v>25800000</v>
      </c>
      <c r="R16" s="57">
        <f>25900000</f>
        <v>25900000</v>
      </c>
      <c r="S16" s="57">
        <f>26000000</f>
        <v>26000000</v>
      </c>
      <c r="T16" s="57">
        <f>26100000</f>
        <v>26100000</v>
      </c>
      <c r="U16" s="57">
        <f>26200000</f>
        <v>26200000</v>
      </c>
      <c r="V16" s="57">
        <f>26300000</f>
        <v>26300000</v>
      </c>
      <c r="W16" s="57">
        <f>0</f>
        <v>0</v>
      </c>
      <c r="X16" s="57">
        <f>0</f>
        <v>0</v>
      </c>
      <c r="Y16" s="57">
        <f>0</f>
        <v>0</v>
      </c>
      <c r="Z16" s="57">
        <f>0</f>
        <v>0</v>
      </c>
      <c r="AA16" s="57">
        <f>0</f>
        <v>0</v>
      </c>
      <c r="AB16" s="57">
        <f>0</f>
        <v>0</v>
      </c>
      <c r="AC16" s="57">
        <f>0</f>
        <v>0</v>
      </c>
      <c r="AD16" s="57">
        <f>0</f>
        <v>0</v>
      </c>
      <c r="AE16" s="57">
        <f>0</f>
        <v>0</v>
      </c>
      <c r="AF16" s="57">
        <f>0</f>
        <v>0</v>
      </c>
      <c r="AG16" s="57">
        <f>0</f>
        <v>0</v>
      </c>
      <c r="AH16" s="57">
        <f>0</f>
        <v>0</v>
      </c>
      <c r="AI16" s="57">
        <f>0</f>
        <v>0</v>
      </c>
      <c r="AJ16" s="57">
        <f>0</f>
        <v>0</v>
      </c>
      <c r="AK16" s="57">
        <f>0</f>
        <v>0</v>
      </c>
      <c r="AL16" s="58">
        <f>0</f>
        <v>0</v>
      </c>
    </row>
    <row r="17" spans="2:38" ht="15" customHeight="1" outlineLevel="3">
      <c r="B17" s="47" t="s">
        <v>51</v>
      </c>
      <c r="C17" s="284"/>
      <c r="D17" s="286" t="s">
        <v>216</v>
      </c>
      <c r="E17" s="91">
        <f>14010221</f>
        <v>14010221</v>
      </c>
      <c r="F17" s="54">
        <f>14631906</f>
        <v>14631906</v>
      </c>
      <c r="G17" s="54">
        <f>13977725</f>
        <v>13977725</v>
      </c>
      <c r="H17" s="55">
        <f>14334587</f>
        <v>14334587</v>
      </c>
      <c r="I17" s="56">
        <f>16358622</f>
        <v>16358622</v>
      </c>
      <c r="J17" s="57">
        <f>14479150</f>
        <v>14479150</v>
      </c>
      <c r="K17" s="57">
        <f>14240650</f>
        <v>14240650</v>
      </c>
      <c r="L17" s="57">
        <f>14300000</f>
        <v>14300000</v>
      </c>
      <c r="M17" s="57">
        <f>14500000</f>
        <v>14500000</v>
      </c>
      <c r="N17" s="57">
        <f>14700000</f>
        <v>14700000</v>
      </c>
      <c r="O17" s="57">
        <f>14900000</f>
        <v>14900000</v>
      </c>
      <c r="P17" s="57">
        <f>15100000</f>
        <v>15100000</v>
      </c>
      <c r="Q17" s="57">
        <f>15300000</f>
        <v>15300000</v>
      </c>
      <c r="R17" s="57">
        <f>15500000</f>
        <v>15500000</v>
      </c>
      <c r="S17" s="57">
        <f>15700000</f>
        <v>15700000</v>
      </c>
      <c r="T17" s="57">
        <f>15900000</f>
        <v>15900000</v>
      </c>
      <c r="U17" s="57">
        <f>16100000</f>
        <v>16100000</v>
      </c>
      <c r="V17" s="57">
        <f>16300000</f>
        <v>16300000</v>
      </c>
      <c r="W17" s="57">
        <f>0</f>
        <v>0</v>
      </c>
      <c r="X17" s="57">
        <f>0</f>
        <v>0</v>
      </c>
      <c r="Y17" s="57">
        <f>0</f>
        <v>0</v>
      </c>
      <c r="Z17" s="57">
        <f>0</f>
        <v>0</v>
      </c>
      <c r="AA17" s="57">
        <f>0</f>
        <v>0</v>
      </c>
      <c r="AB17" s="57">
        <f>0</f>
        <v>0</v>
      </c>
      <c r="AC17" s="57">
        <f>0</f>
        <v>0</v>
      </c>
      <c r="AD17" s="57">
        <f>0</f>
        <v>0</v>
      </c>
      <c r="AE17" s="57">
        <f>0</f>
        <v>0</v>
      </c>
      <c r="AF17" s="57">
        <f>0</f>
        <v>0</v>
      </c>
      <c r="AG17" s="57">
        <f>0</f>
        <v>0</v>
      </c>
      <c r="AH17" s="57">
        <f>0</f>
        <v>0</v>
      </c>
      <c r="AI17" s="57">
        <f>0</f>
        <v>0</v>
      </c>
      <c r="AJ17" s="57">
        <f>0</f>
        <v>0</v>
      </c>
      <c r="AK17" s="57">
        <f>0</f>
        <v>0</v>
      </c>
      <c r="AL17" s="58">
        <f>0</f>
        <v>0</v>
      </c>
    </row>
    <row r="18" spans="1:38" ht="15" customHeight="1" outlineLevel="2">
      <c r="A18" s="298" t="s">
        <v>31</v>
      </c>
      <c r="B18" s="47" t="s">
        <v>162</v>
      </c>
      <c r="C18" s="284"/>
      <c r="D18" s="285" t="s">
        <v>29</v>
      </c>
      <c r="E18" s="91">
        <f>10371244</f>
        <v>10371244</v>
      </c>
      <c r="F18" s="54">
        <f>6544422</f>
        <v>6544422</v>
      </c>
      <c r="G18" s="54">
        <f>13844890</f>
        <v>13844890</v>
      </c>
      <c r="H18" s="55">
        <f>13576625</f>
        <v>13576625</v>
      </c>
      <c r="I18" s="56">
        <f>24092828</f>
        <v>24092828</v>
      </c>
      <c r="J18" s="57">
        <f>20119922</f>
        <v>20119922</v>
      </c>
      <c r="K18" s="57">
        <f>13600000</f>
        <v>13600000</v>
      </c>
      <c r="L18" s="57">
        <f>7500000</f>
        <v>7500000</v>
      </c>
      <c r="M18" s="57">
        <f>1660000</f>
        <v>1660000</v>
      </c>
      <c r="N18" s="57">
        <f>1660000</f>
        <v>1660000</v>
      </c>
      <c r="O18" s="57">
        <f aca="true" t="shared" si="0" ref="O18:V19">1160000</f>
        <v>1160000</v>
      </c>
      <c r="P18" s="57">
        <f t="shared" si="0"/>
        <v>1160000</v>
      </c>
      <c r="Q18" s="57">
        <f t="shared" si="0"/>
        <v>1160000</v>
      </c>
      <c r="R18" s="57">
        <f t="shared" si="0"/>
        <v>1160000</v>
      </c>
      <c r="S18" s="57">
        <f t="shared" si="0"/>
        <v>1160000</v>
      </c>
      <c r="T18" s="57">
        <f t="shared" si="0"/>
        <v>1160000</v>
      </c>
      <c r="U18" s="57">
        <f t="shared" si="0"/>
        <v>1160000</v>
      </c>
      <c r="V18" s="57">
        <f t="shared" si="0"/>
        <v>1160000</v>
      </c>
      <c r="W18" s="57">
        <f>0</f>
        <v>0</v>
      </c>
      <c r="X18" s="57">
        <f>0</f>
        <v>0</v>
      </c>
      <c r="Y18" s="57">
        <f>0</f>
        <v>0</v>
      </c>
      <c r="Z18" s="57">
        <f>0</f>
        <v>0</v>
      </c>
      <c r="AA18" s="57">
        <f>0</f>
        <v>0</v>
      </c>
      <c r="AB18" s="57">
        <f>0</f>
        <v>0</v>
      </c>
      <c r="AC18" s="57">
        <f>0</f>
        <v>0</v>
      </c>
      <c r="AD18" s="57">
        <f>0</f>
        <v>0</v>
      </c>
      <c r="AE18" s="57">
        <f>0</f>
        <v>0</v>
      </c>
      <c r="AF18" s="57">
        <f>0</f>
        <v>0</v>
      </c>
      <c r="AG18" s="57">
        <f>0</f>
        <v>0</v>
      </c>
      <c r="AH18" s="57">
        <f>0</f>
        <v>0</v>
      </c>
      <c r="AI18" s="57">
        <f>0</f>
        <v>0</v>
      </c>
      <c r="AJ18" s="57">
        <f>0</f>
        <v>0</v>
      </c>
      <c r="AK18" s="57">
        <f>0</f>
        <v>0</v>
      </c>
      <c r="AL18" s="58">
        <f>0</f>
        <v>0</v>
      </c>
    </row>
    <row r="19" spans="1:38" ht="15" customHeight="1" outlineLevel="3">
      <c r="A19" s="298" t="s">
        <v>31</v>
      </c>
      <c r="B19" s="47" t="s">
        <v>54</v>
      </c>
      <c r="C19" s="284"/>
      <c r="D19" s="286" t="s">
        <v>30</v>
      </c>
      <c r="E19" s="91">
        <f>532340</f>
        <v>532340</v>
      </c>
      <c r="F19" s="54">
        <f>2242706</f>
        <v>2242706</v>
      </c>
      <c r="G19" s="54">
        <f>11020603</f>
        <v>11020603</v>
      </c>
      <c r="H19" s="55">
        <f>10273157</f>
        <v>10273157</v>
      </c>
      <c r="I19" s="56">
        <f>17761198</f>
        <v>17761198</v>
      </c>
      <c r="J19" s="57">
        <f>20119922</f>
        <v>20119922</v>
      </c>
      <c r="K19" s="57">
        <f>13600000</f>
        <v>13600000</v>
      </c>
      <c r="L19" s="57">
        <f>7500000</f>
        <v>7500000</v>
      </c>
      <c r="M19" s="57">
        <f>1660000</f>
        <v>1660000</v>
      </c>
      <c r="N19" s="57">
        <f>1660000</f>
        <v>1660000</v>
      </c>
      <c r="O19" s="57">
        <f t="shared" si="0"/>
        <v>1160000</v>
      </c>
      <c r="P19" s="57">
        <f t="shared" si="0"/>
        <v>1160000</v>
      </c>
      <c r="Q19" s="57">
        <f t="shared" si="0"/>
        <v>1160000</v>
      </c>
      <c r="R19" s="57">
        <f t="shared" si="0"/>
        <v>1160000</v>
      </c>
      <c r="S19" s="57">
        <f t="shared" si="0"/>
        <v>1160000</v>
      </c>
      <c r="T19" s="57">
        <f t="shared" si="0"/>
        <v>1160000</v>
      </c>
      <c r="U19" s="57">
        <f t="shared" si="0"/>
        <v>1160000</v>
      </c>
      <c r="V19" s="57">
        <f t="shared" si="0"/>
        <v>1160000</v>
      </c>
      <c r="W19" s="57">
        <f>0</f>
        <v>0</v>
      </c>
      <c r="X19" s="57">
        <f>0</f>
        <v>0</v>
      </c>
      <c r="Y19" s="57">
        <f>0</f>
        <v>0</v>
      </c>
      <c r="Z19" s="57">
        <f>0</f>
        <v>0</v>
      </c>
      <c r="AA19" s="57">
        <f>0</f>
        <v>0</v>
      </c>
      <c r="AB19" s="57">
        <f>0</f>
        <v>0</v>
      </c>
      <c r="AC19" s="57">
        <f>0</f>
        <v>0</v>
      </c>
      <c r="AD19" s="57">
        <f>0</f>
        <v>0</v>
      </c>
      <c r="AE19" s="57">
        <f>0</f>
        <v>0</v>
      </c>
      <c r="AF19" s="57">
        <f>0</f>
        <v>0</v>
      </c>
      <c r="AG19" s="57">
        <f>0</f>
        <v>0</v>
      </c>
      <c r="AH19" s="57">
        <f>0</f>
        <v>0</v>
      </c>
      <c r="AI19" s="57">
        <f>0</f>
        <v>0</v>
      </c>
      <c r="AJ19" s="57">
        <f>0</f>
        <v>0</v>
      </c>
      <c r="AK19" s="57">
        <f>0</f>
        <v>0</v>
      </c>
      <c r="AL19" s="58">
        <f>0</f>
        <v>0</v>
      </c>
    </row>
    <row r="20" spans="2:38" ht="15" customHeight="1" outlineLevel="3">
      <c r="B20" s="47" t="s">
        <v>56</v>
      </c>
      <c r="C20" s="284"/>
      <c r="D20" s="286" t="s">
        <v>218</v>
      </c>
      <c r="E20" s="91">
        <f>9838904</f>
        <v>9838904</v>
      </c>
      <c r="F20" s="54">
        <f>4301716</f>
        <v>4301716</v>
      </c>
      <c r="G20" s="54">
        <f>2824287</f>
        <v>2824287</v>
      </c>
      <c r="H20" s="55">
        <f>3303468</f>
        <v>3303468</v>
      </c>
      <c r="I20" s="56">
        <f>1243391</f>
        <v>1243391</v>
      </c>
      <c r="J20" s="57">
        <f>0</f>
        <v>0</v>
      </c>
      <c r="K20" s="57">
        <f>0</f>
        <v>0</v>
      </c>
      <c r="L20" s="57">
        <f>0</f>
        <v>0</v>
      </c>
      <c r="M20" s="57">
        <f>0</f>
        <v>0</v>
      </c>
      <c r="N20" s="57">
        <f>0</f>
        <v>0</v>
      </c>
      <c r="O20" s="57">
        <f>0</f>
        <v>0</v>
      </c>
      <c r="P20" s="57">
        <f>0</f>
        <v>0</v>
      </c>
      <c r="Q20" s="57">
        <f>0</f>
        <v>0</v>
      </c>
      <c r="R20" s="57">
        <f>0</f>
        <v>0</v>
      </c>
      <c r="S20" s="57">
        <f>0</f>
        <v>0</v>
      </c>
      <c r="T20" s="57">
        <f>0</f>
        <v>0</v>
      </c>
      <c r="U20" s="57">
        <f>0</f>
        <v>0</v>
      </c>
      <c r="V20" s="57">
        <f>0</f>
        <v>0</v>
      </c>
      <c r="W20" s="57">
        <f>0</f>
        <v>0</v>
      </c>
      <c r="X20" s="57">
        <f>0</f>
        <v>0</v>
      </c>
      <c r="Y20" s="57">
        <f>0</f>
        <v>0</v>
      </c>
      <c r="Z20" s="57">
        <f>0</f>
        <v>0</v>
      </c>
      <c r="AA20" s="57">
        <f>0</f>
        <v>0</v>
      </c>
      <c r="AB20" s="57">
        <f>0</f>
        <v>0</v>
      </c>
      <c r="AC20" s="57">
        <f>0</f>
        <v>0</v>
      </c>
      <c r="AD20" s="57">
        <f>0</f>
        <v>0</v>
      </c>
      <c r="AE20" s="57">
        <f>0</f>
        <v>0</v>
      </c>
      <c r="AF20" s="57">
        <f>0</f>
        <v>0</v>
      </c>
      <c r="AG20" s="57">
        <f>0</f>
        <v>0</v>
      </c>
      <c r="AH20" s="57">
        <f>0</f>
        <v>0</v>
      </c>
      <c r="AI20" s="57">
        <f>0</f>
        <v>0</v>
      </c>
      <c r="AJ20" s="57">
        <f>0</f>
        <v>0</v>
      </c>
      <c r="AK20" s="57">
        <f>0</f>
        <v>0</v>
      </c>
      <c r="AL20" s="58">
        <f>0</f>
        <v>0</v>
      </c>
    </row>
    <row r="21" spans="1:39" ht="15" customHeight="1" outlineLevel="1">
      <c r="A21" s="298" t="s">
        <v>31</v>
      </c>
      <c r="B21" s="46">
        <v>2</v>
      </c>
      <c r="C21" s="299"/>
      <c r="D21" s="283" t="s">
        <v>21</v>
      </c>
      <c r="E21" s="90">
        <f>76238824</f>
        <v>76238824</v>
      </c>
      <c r="F21" s="49">
        <f>81534270</f>
        <v>81534270</v>
      </c>
      <c r="G21" s="49">
        <f>101163750</f>
        <v>101163750</v>
      </c>
      <c r="H21" s="50">
        <f>94986416</f>
        <v>94986416</v>
      </c>
      <c r="I21" s="51">
        <f>105001400</f>
        <v>105001400</v>
      </c>
      <c r="J21" s="52">
        <f>93048907</f>
        <v>93048907</v>
      </c>
      <c r="K21" s="52">
        <f>89654325</f>
        <v>89654325</v>
      </c>
      <c r="L21" s="52">
        <f>84354737</f>
        <v>84354737</v>
      </c>
      <c r="M21" s="52">
        <f>79453580</f>
        <v>79453580</v>
      </c>
      <c r="N21" s="52">
        <f>80347735</f>
        <v>80347735</v>
      </c>
      <c r="O21" s="52">
        <f>80839242</f>
        <v>80839242</v>
      </c>
      <c r="P21" s="52">
        <f>81778948</f>
        <v>81778948</v>
      </c>
      <c r="Q21" s="52">
        <f>82720017</f>
        <v>82720017</v>
      </c>
      <c r="R21" s="52">
        <f>83658813</f>
        <v>83658813</v>
      </c>
      <c r="S21" s="52">
        <f>84625063</f>
        <v>84625063</v>
      </c>
      <c r="T21" s="52">
        <f>85591321</f>
        <v>85591321</v>
      </c>
      <c r="U21" s="52">
        <f>88160000</f>
        <v>88160000</v>
      </c>
      <c r="V21" s="52">
        <f>89160000</f>
        <v>89160000</v>
      </c>
      <c r="W21" s="52">
        <f>0</f>
        <v>0</v>
      </c>
      <c r="X21" s="52">
        <f>0</f>
        <v>0</v>
      </c>
      <c r="Y21" s="52">
        <f>0</f>
        <v>0</v>
      </c>
      <c r="Z21" s="52">
        <f>0</f>
        <v>0</v>
      </c>
      <c r="AA21" s="52">
        <f>0</f>
        <v>0</v>
      </c>
      <c r="AB21" s="52">
        <f>0</f>
        <v>0</v>
      </c>
      <c r="AC21" s="52">
        <f>0</f>
        <v>0</v>
      </c>
      <c r="AD21" s="52">
        <f>0</f>
        <v>0</v>
      </c>
      <c r="AE21" s="52">
        <f>0</f>
        <v>0</v>
      </c>
      <c r="AF21" s="52">
        <f>0</f>
        <v>0</v>
      </c>
      <c r="AG21" s="52">
        <f>0</f>
        <v>0</v>
      </c>
      <c r="AH21" s="52">
        <f>0</f>
        <v>0</v>
      </c>
      <c r="AI21" s="52">
        <f>0</f>
        <v>0</v>
      </c>
      <c r="AJ21" s="52">
        <f>0</f>
        <v>0</v>
      </c>
      <c r="AK21" s="52">
        <f>0</f>
        <v>0</v>
      </c>
      <c r="AL21" s="53">
        <f>0</f>
        <v>0</v>
      </c>
      <c r="AM21" s="42"/>
    </row>
    <row r="22" spans="1:38" ht="15" customHeight="1" outlineLevel="2">
      <c r="A22" s="298" t="s">
        <v>31</v>
      </c>
      <c r="B22" s="47" t="s">
        <v>163</v>
      </c>
      <c r="C22" s="284"/>
      <c r="D22" s="285" t="s">
        <v>219</v>
      </c>
      <c r="E22" s="91">
        <f>68965429</f>
        <v>68965429</v>
      </c>
      <c r="F22" s="54">
        <f>74990877</f>
        <v>74990877</v>
      </c>
      <c r="G22" s="54">
        <f>75953060</f>
        <v>75953060</v>
      </c>
      <c r="H22" s="55">
        <f>71079775</f>
        <v>71079775</v>
      </c>
      <c r="I22" s="56">
        <f>85023445</f>
        <v>85023445</v>
      </c>
      <c r="J22" s="57">
        <f>77146504</f>
        <v>77146504</v>
      </c>
      <c r="K22" s="57">
        <f>76451922</f>
        <v>76451922</v>
      </c>
      <c r="L22" s="57">
        <f>77354737</f>
        <v>77354737</v>
      </c>
      <c r="M22" s="57">
        <f>78293580</f>
        <v>78293580</v>
      </c>
      <c r="N22" s="57">
        <f>79187735</f>
        <v>79187735</v>
      </c>
      <c r="O22" s="57">
        <f>80179242</f>
        <v>80179242</v>
      </c>
      <c r="P22" s="57">
        <f>81118948</f>
        <v>81118948</v>
      </c>
      <c r="Q22" s="57">
        <f>82060017</f>
        <v>82060017</v>
      </c>
      <c r="R22" s="57">
        <f>82998813</f>
        <v>82998813</v>
      </c>
      <c r="S22" s="57">
        <f>83965063</f>
        <v>83965063</v>
      </c>
      <c r="T22" s="57">
        <f>84931321</f>
        <v>84931321</v>
      </c>
      <c r="U22" s="57">
        <f>87500000</f>
        <v>87500000</v>
      </c>
      <c r="V22" s="57">
        <f>88500000</f>
        <v>88500000</v>
      </c>
      <c r="W22" s="57">
        <f>0</f>
        <v>0</v>
      </c>
      <c r="X22" s="57">
        <f>0</f>
        <v>0</v>
      </c>
      <c r="Y22" s="57">
        <f>0</f>
        <v>0</v>
      </c>
      <c r="Z22" s="57">
        <f>0</f>
        <v>0</v>
      </c>
      <c r="AA22" s="57">
        <f>0</f>
        <v>0</v>
      </c>
      <c r="AB22" s="57">
        <f>0</f>
        <v>0</v>
      </c>
      <c r="AC22" s="57">
        <f>0</f>
        <v>0</v>
      </c>
      <c r="AD22" s="57">
        <f>0</f>
        <v>0</v>
      </c>
      <c r="AE22" s="57">
        <f>0</f>
        <v>0</v>
      </c>
      <c r="AF22" s="57">
        <f>0</f>
        <v>0</v>
      </c>
      <c r="AG22" s="57">
        <f>0</f>
        <v>0</v>
      </c>
      <c r="AH22" s="57">
        <f>0</f>
        <v>0</v>
      </c>
      <c r="AI22" s="57">
        <f>0</f>
        <v>0</v>
      </c>
      <c r="AJ22" s="57">
        <f>0</f>
        <v>0</v>
      </c>
      <c r="AK22" s="57">
        <f>0</f>
        <v>0</v>
      </c>
      <c r="AL22" s="58">
        <f>0</f>
        <v>0</v>
      </c>
    </row>
    <row r="23" spans="1:38" ht="15" customHeight="1" outlineLevel="3">
      <c r="A23" s="298" t="s">
        <v>31</v>
      </c>
      <c r="B23" s="47" t="s">
        <v>59</v>
      </c>
      <c r="C23" s="284"/>
      <c r="D23" s="286" t="s">
        <v>220</v>
      </c>
      <c r="E23" s="91">
        <f>0</f>
        <v>0</v>
      </c>
      <c r="F23" s="54">
        <f>0</f>
        <v>0</v>
      </c>
      <c r="G23" s="54">
        <f>0</f>
        <v>0</v>
      </c>
      <c r="H23" s="55">
        <f>0</f>
        <v>0</v>
      </c>
      <c r="I23" s="56">
        <f>0</f>
        <v>0</v>
      </c>
      <c r="J23" s="57">
        <f>0</f>
        <v>0</v>
      </c>
      <c r="K23" s="57">
        <f>0</f>
        <v>0</v>
      </c>
      <c r="L23" s="57">
        <f>0</f>
        <v>0</v>
      </c>
      <c r="M23" s="57">
        <f>0</f>
        <v>0</v>
      </c>
      <c r="N23" s="57">
        <f>0</f>
        <v>0</v>
      </c>
      <c r="O23" s="57">
        <f>0</f>
        <v>0</v>
      </c>
      <c r="P23" s="57">
        <f>0</f>
        <v>0</v>
      </c>
      <c r="Q23" s="57">
        <f>0</f>
        <v>0</v>
      </c>
      <c r="R23" s="57">
        <f>0</f>
        <v>0</v>
      </c>
      <c r="S23" s="57">
        <f>0</f>
        <v>0</v>
      </c>
      <c r="T23" s="57">
        <f>0</f>
        <v>0</v>
      </c>
      <c r="U23" s="57">
        <f>0</f>
        <v>0</v>
      </c>
      <c r="V23" s="57">
        <f>0</f>
        <v>0</v>
      </c>
      <c r="W23" s="57">
        <f>0</f>
        <v>0</v>
      </c>
      <c r="X23" s="57">
        <f>0</f>
        <v>0</v>
      </c>
      <c r="Y23" s="57">
        <f>0</f>
        <v>0</v>
      </c>
      <c r="Z23" s="57">
        <f>0</f>
        <v>0</v>
      </c>
      <c r="AA23" s="57">
        <f>0</f>
        <v>0</v>
      </c>
      <c r="AB23" s="57">
        <f>0</f>
        <v>0</v>
      </c>
      <c r="AC23" s="57">
        <f>0</f>
        <v>0</v>
      </c>
      <c r="AD23" s="57">
        <f>0</f>
        <v>0</v>
      </c>
      <c r="AE23" s="57">
        <f>0</f>
        <v>0</v>
      </c>
      <c r="AF23" s="57">
        <f>0</f>
        <v>0</v>
      </c>
      <c r="AG23" s="57">
        <f>0</f>
        <v>0</v>
      </c>
      <c r="AH23" s="57">
        <f>0</f>
        <v>0</v>
      </c>
      <c r="AI23" s="57">
        <f>0</f>
        <v>0</v>
      </c>
      <c r="AJ23" s="57">
        <f>0</f>
        <v>0</v>
      </c>
      <c r="AK23" s="57">
        <f>0</f>
        <v>0</v>
      </c>
      <c r="AL23" s="58">
        <f>0</f>
        <v>0</v>
      </c>
    </row>
    <row r="24" spans="1:38" ht="48" customHeight="1" outlineLevel="3">
      <c r="A24" s="298" t="s">
        <v>31</v>
      </c>
      <c r="B24" s="47" t="s">
        <v>61</v>
      </c>
      <c r="C24" s="284"/>
      <c r="D24" s="287" t="s">
        <v>422</v>
      </c>
      <c r="E24" s="91">
        <f>0</f>
        <v>0</v>
      </c>
      <c r="F24" s="54">
        <f>0</f>
        <v>0</v>
      </c>
      <c r="G24" s="54">
        <f>0</f>
        <v>0</v>
      </c>
      <c r="H24" s="55">
        <f>0</f>
        <v>0</v>
      </c>
      <c r="I24" s="56">
        <f>0</f>
        <v>0</v>
      </c>
      <c r="J24" s="57">
        <f>0</f>
        <v>0</v>
      </c>
      <c r="K24" s="57">
        <f>0</f>
        <v>0</v>
      </c>
      <c r="L24" s="57">
        <f>0</f>
        <v>0</v>
      </c>
      <c r="M24" s="57">
        <f>0</f>
        <v>0</v>
      </c>
      <c r="N24" s="57">
        <f>0</f>
        <v>0</v>
      </c>
      <c r="O24" s="57">
        <f>0</f>
        <v>0</v>
      </c>
      <c r="P24" s="57">
        <f>0</f>
        <v>0</v>
      </c>
      <c r="Q24" s="57">
        <f>0</f>
        <v>0</v>
      </c>
      <c r="R24" s="57">
        <f>0</f>
        <v>0</v>
      </c>
      <c r="S24" s="57">
        <f>0</f>
        <v>0</v>
      </c>
      <c r="T24" s="57">
        <f>0</f>
        <v>0</v>
      </c>
      <c r="U24" s="57">
        <f>0</f>
        <v>0</v>
      </c>
      <c r="V24" s="57">
        <f>0</f>
        <v>0</v>
      </c>
      <c r="W24" s="57">
        <f>0</f>
        <v>0</v>
      </c>
      <c r="X24" s="57">
        <f>0</f>
        <v>0</v>
      </c>
      <c r="Y24" s="57">
        <f>0</f>
        <v>0</v>
      </c>
      <c r="Z24" s="57">
        <f>0</f>
        <v>0</v>
      </c>
      <c r="AA24" s="57">
        <f>0</f>
        <v>0</v>
      </c>
      <c r="AB24" s="57">
        <f>0</f>
        <v>0</v>
      </c>
      <c r="AC24" s="57">
        <f>0</f>
        <v>0</v>
      </c>
      <c r="AD24" s="57">
        <f>0</f>
        <v>0</v>
      </c>
      <c r="AE24" s="57">
        <f>0</f>
        <v>0</v>
      </c>
      <c r="AF24" s="57">
        <f>0</f>
        <v>0</v>
      </c>
      <c r="AG24" s="57">
        <f>0</f>
        <v>0</v>
      </c>
      <c r="AH24" s="57">
        <f>0</f>
        <v>0</v>
      </c>
      <c r="AI24" s="57">
        <f>0</f>
        <v>0</v>
      </c>
      <c r="AJ24" s="57">
        <f>0</f>
        <v>0</v>
      </c>
      <c r="AK24" s="57">
        <f>0</f>
        <v>0</v>
      </c>
      <c r="AL24" s="58">
        <f>0</f>
        <v>0</v>
      </c>
    </row>
    <row r="25" spans="2:38" ht="39" customHeight="1" outlineLevel="3">
      <c r="B25" s="47" t="s">
        <v>63</v>
      </c>
      <c r="C25" s="284"/>
      <c r="D25" s="286" t="s">
        <v>423</v>
      </c>
      <c r="E25" s="92" t="s">
        <v>31</v>
      </c>
      <c r="F25" s="59" t="s">
        <v>31</v>
      </c>
      <c r="G25" s="59" t="s">
        <v>31</v>
      </c>
      <c r="H25" s="60" t="s">
        <v>31</v>
      </c>
      <c r="I25" s="56">
        <f>0</f>
        <v>0</v>
      </c>
      <c r="J25" s="57">
        <f>0</f>
        <v>0</v>
      </c>
      <c r="K25" s="57">
        <f>0</f>
        <v>0</v>
      </c>
      <c r="L25" s="57">
        <f>0</f>
        <v>0</v>
      </c>
      <c r="M25" s="57">
        <f>0</f>
        <v>0</v>
      </c>
      <c r="N25" s="57">
        <f>0</f>
        <v>0</v>
      </c>
      <c r="O25" s="57">
        <f>0</f>
        <v>0</v>
      </c>
      <c r="P25" s="57">
        <f>0</f>
        <v>0</v>
      </c>
      <c r="Q25" s="57">
        <f>0</f>
        <v>0</v>
      </c>
      <c r="R25" s="57">
        <f>0</f>
        <v>0</v>
      </c>
      <c r="S25" s="57">
        <f>0</f>
        <v>0</v>
      </c>
      <c r="T25" s="57">
        <f>0</f>
        <v>0</v>
      </c>
      <c r="U25" s="57">
        <f>0</f>
        <v>0</v>
      </c>
      <c r="V25" s="57">
        <f>0</f>
        <v>0</v>
      </c>
      <c r="W25" s="57">
        <f>0</f>
        <v>0</v>
      </c>
      <c r="X25" s="57">
        <f>0</f>
        <v>0</v>
      </c>
      <c r="Y25" s="57">
        <f>0</f>
        <v>0</v>
      </c>
      <c r="Z25" s="57">
        <f>0</f>
        <v>0</v>
      </c>
      <c r="AA25" s="57">
        <f>0</f>
        <v>0</v>
      </c>
      <c r="AB25" s="57">
        <f>0</f>
        <v>0</v>
      </c>
      <c r="AC25" s="57">
        <f>0</f>
        <v>0</v>
      </c>
      <c r="AD25" s="57">
        <f>0</f>
        <v>0</v>
      </c>
      <c r="AE25" s="57">
        <f>0</f>
        <v>0</v>
      </c>
      <c r="AF25" s="57">
        <f>0</f>
        <v>0</v>
      </c>
      <c r="AG25" s="57">
        <f>0</f>
        <v>0</v>
      </c>
      <c r="AH25" s="57">
        <f>0</f>
        <v>0</v>
      </c>
      <c r="AI25" s="57">
        <f>0</f>
        <v>0</v>
      </c>
      <c r="AJ25" s="57">
        <f>0</f>
        <v>0</v>
      </c>
      <c r="AK25" s="57">
        <f>0</f>
        <v>0</v>
      </c>
      <c r="AL25" s="58">
        <f>0</f>
        <v>0</v>
      </c>
    </row>
    <row r="26" spans="1:38" ht="15" customHeight="1" outlineLevel="3">
      <c r="A26" s="298" t="s">
        <v>31</v>
      </c>
      <c r="B26" s="47" t="s">
        <v>65</v>
      </c>
      <c r="C26" s="284"/>
      <c r="D26" s="286" t="s">
        <v>221</v>
      </c>
      <c r="E26" s="91">
        <f>1570087</f>
        <v>1570087</v>
      </c>
      <c r="F26" s="54">
        <f>1603219</f>
        <v>1603219</v>
      </c>
      <c r="G26" s="54">
        <f>1780000</f>
        <v>1780000</v>
      </c>
      <c r="H26" s="55">
        <f>1746298</f>
        <v>1746298</v>
      </c>
      <c r="I26" s="56">
        <f>1897000</f>
        <v>1897000</v>
      </c>
      <c r="J26" s="57">
        <f>1534512</f>
        <v>1534512</v>
      </c>
      <c r="K26" s="57">
        <f>1350501</f>
        <v>1350501</v>
      </c>
      <c r="L26" s="57">
        <f>1209652</f>
        <v>1209652</v>
      </c>
      <c r="M26" s="57">
        <f>1068599</f>
        <v>1068599</v>
      </c>
      <c r="N26" s="57">
        <f>927661</f>
        <v>927661</v>
      </c>
      <c r="O26" s="57">
        <f>786714</f>
        <v>786714</v>
      </c>
      <c r="P26" s="57">
        <f>645858</f>
        <v>645858</v>
      </c>
      <c r="Q26" s="57">
        <f>504813</f>
        <v>504813</v>
      </c>
      <c r="R26" s="57">
        <f>361651</f>
        <v>361651</v>
      </c>
      <c r="S26" s="57">
        <f>238619</f>
        <v>238619</v>
      </c>
      <c r="T26" s="57">
        <f>137557</f>
        <v>137557</v>
      </c>
      <c r="U26" s="57">
        <f>52031</f>
        <v>52031</v>
      </c>
      <c r="V26" s="57">
        <f>18281</f>
        <v>18281</v>
      </c>
      <c r="W26" s="57">
        <f>0</f>
        <v>0</v>
      </c>
      <c r="X26" s="57">
        <f>0</f>
        <v>0</v>
      </c>
      <c r="Y26" s="57">
        <f>0</f>
        <v>0</v>
      </c>
      <c r="Z26" s="57">
        <f>0</f>
        <v>0</v>
      </c>
      <c r="AA26" s="57">
        <f>0</f>
        <v>0</v>
      </c>
      <c r="AB26" s="57">
        <f>0</f>
        <v>0</v>
      </c>
      <c r="AC26" s="57">
        <f>0</f>
        <v>0</v>
      </c>
      <c r="AD26" s="57">
        <f>0</f>
        <v>0</v>
      </c>
      <c r="AE26" s="57">
        <f>0</f>
        <v>0</v>
      </c>
      <c r="AF26" s="57">
        <f>0</f>
        <v>0</v>
      </c>
      <c r="AG26" s="57">
        <f>0</f>
        <v>0</v>
      </c>
      <c r="AH26" s="57">
        <f>0</f>
        <v>0</v>
      </c>
      <c r="AI26" s="57">
        <f>0</f>
        <v>0</v>
      </c>
      <c r="AJ26" s="57">
        <f>0</f>
        <v>0</v>
      </c>
      <c r="AK26" s="57">
        <f>0</f>
        <v>0</v>
      </c>
      <c r="AL26" s="58">
        <f>0</f>
        <v>0</v>
      </c>
    </row>
    <row r="27" spans="1:38" ht="15" customHeight="1" outlineLevel="3">
      <c r="A27" s="298" t="s">
        <v>31</v>
      </c>
      <c r="B27" s="47" t="s">
        <v>67</v>
      </c>
      <c r="C27" s="284"/>
      <c r="D27" s="287" t="s">
        <v>222</v>
      </c>
      <c r="E27" s="91">
        <f>1570087</f>
        <v>1570087</v>
      </c>
      <c r="F27" s="54">
        <f>1603219</f>
        <v>1603219</v>
      </c>
      <c r="G27" s="54">
        <f>1780000</f>
        <v>1780000</v>
      </c>
      <c r="H27" s="55">
        <f>1746298</f>
        <v>1746298</v>
      </c>
      <c r="I27" s="56">
        <f>1897000</f>
        <v>1897000</v>
      </c>
      <c r="J27" s="57">
        <f>1534512</f>
        <v>1534512</v>
      </c>
      <c r="K27" s="57">
        <f>1350501</f>
        <v>1350501</v>
      </c>
      <c r="L27" s="57">
        <f>1209652</f>
        <v>1209652</v>
      </c>
      <c r="M27" s="57">
        <f>1068599</f>
        <v>1068599</v>
      </c>
      <c r="N27" s="57">
        <f>927661</f>
        <v>927661</v>
      </c>
      <c r="O27" s="57">
        <f>786714</f>
        <v>786714</v>
      </c>
      <c r="P27" s="57">
        <f>645858</f>
        <v>645858</v>
      </c>
      <c r="Q27" s="57">
        <f>504813</f>
        <v>504813</v>
      </c>
      <c r="R27" s="57">
        <f>361651</f>
        <v>361651</v>
      </c>
      <c r="S27" s="57">
        <f>238619</f>
        <v>238619</v>
      </c>
      <c r="T27" s="57">
        <f>137557</f>
        <v>137557</v>
      </c>
      <c r="U27" s="57">
        <f>52031</f>
        <v>52031</v>
      </c>
      <c r="V27" s="57">
        <f>18281</f>
        <v>18281</v>
      </c>
      <c r="W27" s="57">
        <f>0</f>
        <v>0</v>
      </c>
      <c r="X27" s="57">
        <f>0</f>
        <v>0</v>
      </c>
      <c r="Y27" s="57">
        <f>0</f>
        <v>0</v>
      </c>
      <c r="Z27" s="57">
        <f>0</f>
        <v>0</v>
      </c>
      <c r="AA27" s="57">
        <f>0</f>
        <v>0</v>
      </c>
      <c r="AB27" s="57">
        <f>0</f>
        <v>0</v>
      </c>
      <c r="AC27" s="57">
        <f>0</f>
        <v>0</v>
      </c>
      <c r="AD27" s="57">
        <f>0</f>
        <v>0</v>
      </c>
      <c r="AE27" s="57">
        <f>0</f>
        <v>0</v>
      </c>
      <c r="AF27" s="57">
        <f>0</f>
        <v>0</v>
      </c>
      <c r="AG27" s="57">
        <f>0</f>
        <v>0</v>
      </c>
      <c r="AH27" s="57">
        <f>0</f>
        <v>0</v>
      </c>
      <c r="AI27" s="57">
        <f>0</f>
        <v>0</v>
      </c>
      <c r="AJ27" s="57">
        <f>0</f>
        <v>0</v>
      </c>
      <c r="AK27" s="57">
        <f>0</f>
        <v>0</v>
      </c>
      <c r="AL27" s="58">
        <f>0</f>
        <v>0</v>
      </c>
    </row>
    <row r="28" spans="1:38" ht="15" customHeight="1" outlineLevel="2">
      <c r="A28" s="298" t="s">
        <v>31</v>
      </c>
      <c r="B28" s="47" t="s">
        <v>164</v>
      </c>
      <c r="C28" s="284"/>
      <c r="D28" s="285" t="s">
        <v>22</v>
      </c>
      <c r="E28" s="91">
        <f>7273395</f>
        <v>7273395</v>
      </c>
      <c r="F28" s="54">
        <f>6543393</f>
        <v>6543393</v>
      </c>
      <c r="G28" s="54">
        <f>25210690</f>
        <v>25210690</v>
      </c>
      <c r="H28" s="55">
        <f>23906641</f>
        <v>23906641</v>
      </c>
      <c r="I28" s="56">
        <f>19977955</f>
        <v>19977955</v>
      </c>
      <c r="J28" s="57">
        <f>15902403</f>
        <v>15902403</v>
      </c>
      <c r="K28" s="57">
        <f>13202403</f>
        <v>13202403</v>
      </c>
      <c r="L28" s="57">
        <f>7000000</f>
        <v>7000000</v>
      </c>
      <c r="M28" s="57">
        <f>1160000</f>
        <v>1160000</v>
      </c>
      <c r="N28" s="57">
        <f>1160000</f>
        <v>1160000</v>
      </c>
      <c r="O28" s="57">
        <f aca="true" t="shared" si="1" ref="O28:V28">660000</f>
        <v>660000</v>
      </c>
      <c r="P28" s="57">
        <f t="shared" si="1"/>
        <v>660000</v>
      </c>
      <c r="Q28" s="57">
        <f t="shared" si="1"/>
        <v>660000</v>
      </c>
      <c r="R28" s="57">
        <f t="shared" si="1"/>
        <v>660000</v>
      </c>
      <c r="S28" s="57">
        <f t="shared" si="1"/>
        <v>660000</v>
      </c>
      <c r="T28" s="57">
        <f t="shared" si="1"/>
        <v>660000</v>
      </c>
      <c r="U28" s="57">
        <f t="shared" si="1"/>
        <v>660000</v>
      </c>
      <c r="V28" s="57">
        <f t="shared" si="1"/>
        <v>660000</v>
      </c>
      <c r="W28" s="57">
        <f>0</f>
        <v>0</v>
      </c>
      <c r="X28" s="57">
        <f>0</f>
        <v>0</v>
      </c>
      <c r="Y28" s="57">
        <f>0</f>
        <v>0</v>
      </c>
      <c r="Z28" s="57">
        <f>0</f>
        <v>0</v>
      </c>
      <c r="AA28" s="57">
        <f>0</f>
        <v>0</v>
      </c>
      <c r="AB28" s="57">
        <f>0</f>
        <v>0</v>
      </c>
      <c r="AC28" s="57">
        <f>0</f>
        <v>0</v>
      </c>
      <c r="AD28" s="57">
        <f>0</f>
        <v>0</v>
      </c>
      <c r="AE28" s="57">
        <f>0</f>
        <v>0</v>
      </c>
      <c r="AF28" s="57">
        <f>0</f>
        <v>0</v>
      </c>
      <c r="AG28" s="57">
        <f>0</f>
        <v>0</v>
      </c>
      <c r="AH28" s="57">
        <f>0</f>
        <v>0</v>
      </c>
      <c r="AI28" s="57">
        <f>0</f>
        <v>0</v>
      </c>
      <c r="AJ28" s="57">
        <f>0</f>
        <v>0</v>
      </c>
      <c r="AK28" s="57">
        <f>0</f>
        <v>0</v>
      </c>
      <c r="AL28" s="58">
        <f>0</f>
        <v>0</v>
      </c>
    </row>
    <row r="29" spans="1:39" ht="15" customHeight="1" outlineLevel="1">
      <c r="A29" s="298" t="s">
        <v>31</v>
      </c>
      <c r="B29" s="46">
        <v>3</v>
      </c>
      <c r="C29" s="299"/>
      <c r="D29" s="283" t="s">
        <v>23</v>
      </c>
      <c r="E29" s="90">
        <f>6536434</f>
        <v>6536434</v>
      </c>
      <c r="F29" s="49">
        <f>-34277</f>
        <v>-34277</v>
      </c>
      <c r="G29" s="49">
        <f>-11120800</f>
        <v>-11120800</v>
      </c>
      <c r="H29" s="50">
        <f>-3713303</f>
        <v>-3713303</v>
      </c>
      <c r="I29" s="51">
        <f>2374361</f>
        <v>2374361</v>
      </c>
      <c r="J29" s="52">
        <f>4319922</f>
        <v>4319922</v>
      </c>
      <c r="K29" s="52">
        <f aca="true" t="shared" si="2" ref="K29:P29">2501733</f>
        <v>2501733</v>
      </c>
      <c r="L29" s="52">
        <f t="shared" si="2"/>
        <v>2501733</v>
      </c>
      <c r="M29" s="52">
        <f t="shared" si="2"/>
        <v>2501733</v>
      </c>
      <c r="N29" s="52">
        <f t="shared" si="2"/>
        <v>2501733</v>
      </c>
      <c r="O29" s="52">
        <f t="shared" si="2"/>
        <v>2501733</v>
      </c>
      <c r="P29" s="52">
        <f t="shared" si="2"/>
        <v>2501733</v>
      </c>
      <c r="Q29" s="52">
        <f>2501731</f>
        <v>2501731</v>
      </c>
      <c r="R29" s="52">
        <f>2154468</f>
        <v>2154468</v>
      </c>
      <c r="S29" s="52">
        <f>2154468</f>
        <v>2154468</v>
      </c>
      <c r="T29" s="52">
        <f>2154460</f>
        <v>2154460</v>
      </c>
      <c r="U29" s="52">
        <f>500000</f>
        <v>500000</v>
      </c>
      <c r="V29" s="52">
        <f>500000</f>
        <v>500000</v>
      </c>
      <c r="W29" s="52">
        <f>0</f>
        <v>0</v>
      </c>
      <c r="X29" s="52">
        <f>0</f>
        <v>0</v>
      </c>
      <c r="Y29" s="52">
        <f>0</f>
        <v>0</v>
      </c>
      <c r="Z29" s="52">
        <f>0</f>
        <v>0</v>
      </c>
      <c r="AA29" s="52">
        <f>0</f>
        <v>0</v>
      </c>
      <c r="AB29" s="52">
        <f>0</f>
        <v>0</v>
      </c>
      <c r="AC29" s="52">
        <f>0</f>
        <v>0</v>
      </c>
      <c r="AD29" s="52">
        <f>0</f>
        <v>0</v>
      </c>
      <c r="AE29" s="52">
        <f>0</f>
        <v>0</v>
      </c>
      <c r="AF29" s="52">
        <f>0</f>
        <v>0</v>
      </c>
      <c r="AG29" s="52">
        <f>0</f>
        <v>0</v>
      </c>
      <c r="AH29" s="52">
        <f>0</f>
        <v>0</v>
      </c>
      <c r="AI29" s="52">
        <f>0</f>
        <v>0</v>
      </c>
      <c r="AJ29" s="52">
        <f>0</f>
        <v>0</v>
      </c>
      <c r="AK29" s="52">
        <f>0</f>
        <v>0</v>
      </c>
      <c r="AL29" s="53">
        <f>0</f>
        <v>0</v>
      </c>
      <c r="AM29" s="42"/>
    </row>
    <row r="30" spans="1:39" ht="15" customHeight="1" outlineLevel="1">
      <c r="A30" s="298" t="s">
        <v>31</v>
      </c>
      <c r="B30" s="46">
        <v>4</v>
      </c>
      <c r="C30" s="299"/>
      <c r="D30" s="283" t="s">
        <v>24</v>
      </c>
      <c r="E30" s="90">
        <f>5097067</f>
        <v>5097067</v>
      </c>
      <c r="F30" s="49">
        <f>11631468</f>
        <v>11631468</v>
      </c>
      <c r="G30" s="49">
        <f>14940713</f>
        <v>14940713</v>
      </c>
      <c r="H30" s="50">
        <f>15124543</f>
        <v>15124543</v>
      </c>
      <c r="I30" s="51">
        <f>1945552</f>
        <v>1945552</v>
      </c>
      <c r="J30" s="52">
        <f>0</f>
        <v>0</v>
      </c>
      <c r="K30" s="52">
        <f>0</f>
        <v>0</v>
      </c>
      <c r="L30" s="52">
        <f>0</f>
        <v>0</v>
      </c>
      <c r="M30" s="52">
        <f>0</f>
        <v>0</v>
      </c>
      <c r="N30" s="52">
        <f>0</f>
        <v>0</v>
      </c>
      <c r="O30" s="52">
        <f>0</f>
        <v>0</v>
      </c>
      <c r="P30" s="52">
        <f>0</f>
        <v>0</v>
      </c>
      <c r="Q30" s="52">
        <f>0</f>
        <v>0</v>
      </c>
      <c r="R30" s="52">
        <f>0</f>
        <v>0</v>
      </c>
      <c r="S30" s="52">
        <f>0</f>
        <v>0</v>
      </c>
      <c r="T30" s="52">
        <f>0</f>
        <v>0</v>
      </c>
      <c r="U30" s="52">
        <f>0</f>
        <v>0</v>
      </c>
      <c r="V30" s="52">
        <f>0</f>
        <v>0</v>
      </c>
      <c r="W30" s="52">
        <f>0</f>
        <v>0</v>
      </c>
      <c r="X30" s="52">
        <f>0</f>
        <v>0</v>
      </c>
      <c r="Y30" s="52">
        <f>0</f>
        <v>0</v>
      </c>
      <c r="Z30" s="52">
        <f>0</f>
        <v>0</v>
      </c>
      <c r="AA30" s="52">
        <f>0</f>
        <v>0</v>
      </c>
      <c r="AB30" s="52">
        <f>0</f>
        <v>0</v>
      </c>
      <c r="AC30" s="52">
        <f>0</f>
        <v>0</v>
      </c>
      <c r="AD30" s="52">
        <f>0</f>
        <v>0</v>
      </c>
      <c r="AE30" s="52">
        <f>0</f>
        <v>0</v>
      </c>
      <c r="AF30" s="52">
        <f>0</f>
        <v>0</v>
      </c>
      <c r="AG30" s="52">
        <f>0</f>
        <v>0</v>
      </c>
      <c r="AH30" s="52">
        <f>0</f>
        <v>0</v>
      </c>
      <c r="AI30" s="52">
        <f>0</f>
        <v>0</v>
      </c>
      <c r="AJ30" s="52">
        <f>0</f>
        <v>0</v>
      </c>
      <c r="AK30" s="52">
        <f>0</f>
        <v>0</v>
      </c>
      <c r="AL30" s="53">
        <f>0</f>
        <v>0</v>
      </c>
      <c r="AM30" s="42"/>
    </row>
    <row r="31" spans="1:38" ht="15" customHeight="1" outlineLevel="2">
      <c r="A31" s="298" t="s">
        <v>31</v>
      </c>
      <c r="B31" s="47" t="s">
        <v>165</v>
      </c>
      <c r="C31" s="284"/>
      <c r="D31" s="285" t="s">
        <v>224</v>
      </c>
      <c r="E31" s="91">
        <f>0</f>
        <v>0</v>
      </c>
      <c r="F31" s="54">
        <f>0</f>
        <v>0</v>
      </c>
      <c r="G31" s="54">
        <f>0</f>
        <v>0</v>
      </c>
      <c r="H31" s="55">
        <f>0</f>
        <v>0</v>
      </c>
      <c r="I31" s="56">
        <f>0</f>
        <v>0</v>
      </c>
      <c r="J31" s="57">
        <f>0</f>
        <v>0</v>
      </c>
      <c r="K31" s="57">
        <f>0</f>
        <v>0</v>
      </c>
      <c r="L31" s="57">
        <f>0</f>
        <v>0</v>
      </c>
      <c r="M31" s="57">
        <f>0</f>
        <v>0</v>
      </c>
      <c r="N31" s="57">
        <f>0</f>
        <v>0</v>
      </c>
      <c r="O31" s="57">
        <f>0</f>
        <v>0</v>
      </c>
      <c r="P31" s="57">
        <f>0</f>
        <v>0</v>
      </c>
      <c r="Q31" s="57">
        <f>0</f>
        <v>0</v>
      </c>
      <c r="R31" s="57">
        <f>0</f>
        <v>0</v>
      </c>
      <c r="S31" s="57">
        <f>0</f>
        <v>0</v>
      </c>
      <c r="T31" s="57">
        <f>0</f>
        <v>0</v>
      </c>
      <c r="U31" s="57">
        <f>0</f>
        <v>0</v>
      </c>
      <c r="V31" s="57">
        <f>0</f>
        <v>0</v>
      </c>
      <c r="W31" s="57">
        <f>0</f>
        <v>0</v>
      </c>
      <c r="X31" s="57">
        <f>0</f>
        <v>0</v>
      </c>
      <c r="Y31" s="57">
        <f>0</f>
        <v>0</v>
      </c>
      <c r="Z31" s="57">
        <f>0</f>
        <v>0</v>
      </c>
      <c r="AA31" s="57">
        <f>0</f>
        <v>0</v>
      </c>
      <c r="AB31" s="57">
        <f>0</f>
        <v>0</v>
      </c>
      <c r="AC31" s="57">
        <f>0</f>
        <v>0</v>
      </c>
      <c r="AD31" s="57">
        <f>0</f>
        <v>0</v>
      </c>
      <c r="AE31" s="57">
        <f>0</f>
        <v>0</v>
      </c>
      <c r="AF31" s="57">
        <f>0</f>
        <v>0</v>
      </c>
      <c r="AG31" s="57">
        <f>0</f>
        <v>0</v>
      </c>
      <c r="AH31" s="57">
        <f>0</f>
        <v>0</v>
      </c>
      <c r="AI31" s="57">
        <f>0</f>
        <v>0</v>
      </c>
      <c r="AJ31" s="57">
        <f>0</f>
        <v>0</v>
      </c>
      <c r="AK31" s="57">
        <f>0</f>
        <v>0</v>
      </c>
      <c r="AL31" s="58">
        <f>0</f>
        <v>0</v>
      </c>
    </row>
    <row r="32" spans="1:38" ht="15" customHeight="1" outlineLevel="3">
      <c r="A32" s="298" t="s">
        <v>31</v>
      </c>
      <c r="B32" s="47" t="s">
        <v>71</v>
      </c>
      <c r="C32" s="284"/>
      <c r="D32" s="286" t="s">
        <v>225</v>
      </c>
      <c r="E32" s="91">
        <f>0</f>
        <v>0</v>
      </c>
      <c r="F32" s="54">
        <f>0</f>
        <v>0</v>
      </c>
      <c r="G32" s="54">
        <f>0</f>
        <v>0</v>
      </c>
      <c r="H32" s="55">
        <f>0</f>
        <v>0</v>
      </c>
      <c r="I32" s="56">
        <f>0</f>
        <v>0</v>
      </c>
      <c r="J32" s="57">
        <f>0</f>
        <v>0</v>
      </c>
      <c r="K32" s="57">
        <f>0</f>
        <v>0</v>
      </c>
      <c r="L32" s="57">
        <f>0</f>
        <v>0</v>
      </c>
      <c r="M32" s="57">
        <f>0</f>
        <v>0</v>
      </c>
      <c r="N32" s="57">
        <f>0</f>
        <v>0</v>
      </c>
      <c r="O32" s="57">
        <f>0</f>
        <v>0</v>
      </c>
      <c r="P32" s="57">
        <f>0</f>
        <v>0</v>
      </c>
      <c r="Q32" s="57">
        <f>0</f>
        <v>0</v>
      </c>
      <c r="R32" s="57">
        <f>0</f>
        <v>0</v>
      </c>
      <c r="S32" s="57">
        <f>0</f>
        <v>0</v>
      </c>
      <c r="T32" s="57">
        <f>0</f>
        <v>0</v>
      </c>
      <c r="U32" s="57">
        <f>0</f>
        <v>0</v>
      </c>
      <c r="V32" s="57">
        <f>0</f>
        <v>0</v>
      </c>
      <c r="W32" s="57">
        <f>0</f>
        <v>0</v>
      </c>
      <c r="X32" s="57">
        <f>0</f>
        <v>0</v>
      </c>
      <c r="Y32" s="57">
        <f>0</f>
        <v>0</v>
      </c>
      <c r="Z32" s="57">
        <f>0</f>
        <v>0</v>
      </c>
      <c r="AA32" s="57">
        <f>0</f>
        <v>0</v>
      </c>
      <c r="AB32" s="57">
        <f>0</f>
        <v>0</v>
      </c>
      <c r="AC32" s="57">
        <f>0</f>
        <v>0</v>
      </c>
      <c r="AD32" s="57">
        <f>0</f>
        <v>0</v>
      </c>
      <c r="AE32" s="57">
        <f>0</f>
        <v>0</v>
      </c>
      <c r="AF32" s="57">
        <f>0</f>
        <v>0</v>
      </c>
      <c r="AG32" s="57">
        <f>0</f>
        <v>0</v>
      </c>
      <c r="AH32" s="57">
        <f>0</f>
        <v>0</v>
      </c>
      <c r="AI32" s="57">
        <f>0</f>
        <v>0</v>
      </c>
      <c r="AJ32" s="57">
        <f>0</f>
        <v>0</v>
      </c>
      <c r="AK32" s="57">
        <f>0</f>
        <v>0</v>
      </c>
      <c r="AL32" s="58">
        <f>0</f>
        <v>0</v>
      </c>
    </row>
    <row r="33" spans="1:38" ht="15" customHeight="1" outlineLevel="2">
      <c r="A33" s="298" t="s">
        <v>31</v>
      </c>
      <c r="B33" s="47" t="s">
        <v>166</v>
      </c>
      <c r="C33" s="284"/>
      <c r="D33" s="285" t="s">
        <v>226</v>
      </c>
      <c r="E33" s="91">
        <f>5097067</f>
        <v>5097067</v>
      </c>
      <c r="F33" s="54">
        <f>8158820</f>
        <v>8158820</v>
      </c>
      <c r="G33" s="54">
        <f>7940713</f>
        <v>7940713</v>
      </c>
      <c r="H33" s="55">
        <f>8124543</f>
        <v>8124543</v>
      </c>
      <c r="I33" s="56">
        <f>1945552</f>
        <v>1945552</v>
      </c>
      <c r="J33" s="57">
        <f>0</f>
        <v>0</v>
      </c>
      <c r="K33" s="57">
        <f>0</f>
        <v>0</v>
      </c>
      <c r="L33" s="57">
        <f>0</f>
        <v>0</v>
      </c>
      <c r="M33" s="57">
        <f>0</f>
        <v>0</v>
      </c>
      <c r="N33" s="57">
        <f>0</f>
        <v>0</v>
      </c>
      <c r="O33" s="57">
        <f>0</f>
        <v>0</v>
      </c>
      <c r="P33" s="57">
        <f>0</f>
        <v>0</v>
      </c>
      <c r="Q33" s="57">
        <f>0</f>
        <v>0</v>
      </c>
      <c r="R33" s="57">
        <f>0</f>
        <v>0</v>
      </c>
      <c r="S33" s="57">
        <f>0</f>
        <v>0</v>
      </c>
      <c r="T33" s="57">
        <f>0</f>
        <v>0</v>
      </c>
      <c r="U33" s="57">
        <f>0</f>
        <v>0</v>
      </c>
      <c r="V33" s="57">
        <f>0</f>
        <v>0</v>
      </c>
      <c r="W33" s="57">
        <f>0</f>
        <v>0</v>
      </c>
      <c r="X33" s="57">
        <f>0</f>
        <v>0</v>
      </c>
      <c r="Y33" s="57">
        <f>0</f>
        <v>0</v>
      </c>
      <c r="Z33" s="57">
        <f>0</f>
        <v>0</v>
      </c>
      <c r="AA33" s="57">
        <f>0</f>
        <v>0</v>
      </c>
      <c r="AB33" s="57">
        <f>0</f>
        <v>0</v>
      </c>
      <c r="AC33" s="57">
        <f>0</f>
        <v>0</v>
      </c>
      <c r="AD33" s="57">
        <f>0</f>
        <v>0</v>
      </c>
      <c r="AE33" s="57">
        <f>0</f>
        <v>0</v>
      </c>
      <c r="AF33" s="57">
        <f>0</f>
        <v>0</v>
      </c>
      <c r="AG33" s="57">
        <f>0</f>
        <v>0</v>
      </c>
      <c r="AH33" s="57">
        <f>0</f>
        <v>0</v>
      </c>
      <c r="AI33" s="57">
        <f>0</f>
        <v>0</v>
      </c>
      <c r="AJ33" s="57">
        <f>0</f>
        <v>0</v>
      </c>
      <c r="AK33" s="57">
        <f>0</f>
        <v>0</v>
      </c>
      <c r="AL33" s="58">
        <f>0</f>
        <v>0</v>
      </c>
    </row>
    <row r="34" spans="1:38" ht="15" customHeight="1" outlineLevel="3">
      <c r="A34" s="298" t="s">
        <v>31</v>
      </c>
      <c r="B34" s="47" t="s">
        <v>74</v>
      </c>
      <c r="C34" s="284"/>
      <c r="D34" s="286" t="s">
        <v>225</v>
      </c>
      <c r="E34" s="91">
        <f>0</f>
        <v>0</v>
      </c>
      <c r="F34" s="54">
        <f>35306</f>
        <v>35306</v>
      </c>
      <c r="G34" s="54">
        <f>4120800</f>
        <v>4120800</v>
      </c>
      <c r="H34" s="55">
        <f>0</f>
        <v>0</v>
      </c>
      <c r="I34" s="56">
        <f>0</f>
        <v>0</v>
      </c>
      <c r="J34" s="57">
        <f>0</f>
        <v>0</v>
      </c>
      <c r="K34" s="57">
        <f>0</f>
        <v>0</v>
      </c>
      <c r="L34" s="57">
        <f>0</f>
        <v>0</v>
      </c>
      <c r="M34" s="57">
        <f>0</f>
        <v>0</v>
      </c>
      <c r="N34" s="57">
        <f>0</f>
        <v>0</v>
      </c>
      <c r="O34" s="57">
        <f>0</f>
        <v>0</v>
      </c>
      <c r="P34" s="57">
        <f>0</f>
        <v>0</v>
      </c>
      <c r="Q34" s="57">
        <f>0</f>
        <v>0</v>
      </c>
      <c r="R34" s="57">
        <f>0</f>
        <v>0</v>
      </c>
      <c r="S34" s="57">
        <f>0</f>
        <v>0</v>
      </c>
      <c r="T34" s="57">
        <f>0</f>
        <v>0</v>
      </c>
      <c r="U34" s="57">
        <f>0</f>
        <v>0</v>
      </c>
      <c r="V34" s="57">
        <f>0</f>
        <v>0</v>
      </c>
      <c r="W34" s="57">
        <f>0</f>
        <v>0</v>
      </c>
      <c r="X34" s="57">
        <f>0</f>
        <v>0</v>
      </c>
      <c r="Y34" s="57">
        <f>0</f>
        <v>0</v>
      </c>
      <c r="Z34" s="57">
        <f>0</f>
        <v>0</v>
      </c>
      <c r="AA34" s="57">
        <f>0</f>
        <v>0</v>
      </c>
      <c r="AB34" s="57">
        <f>0</f>
        <v>0</v>
      </c>
      <c r="AC34" s="57">
        <f>0</f>
        <v>0</v>
      </c>
      <c r="AD34" s="57">
        <f>0</f>
        <v>0</v>
      </c>
      <c r="AE34" s="57">
        <f>0</f>
        <v>0</v>
      </c>
      <c r="AF34" s="57">
        <f>0</f>
        <v>0</v>
      </c>
      <c r="AG34" s="57">
        <f>0</f>
        <v>0</v>
      </c>
      <c r="AH34" s="57">
        <f>0</f>
        <v>0</v>
      </c>
      <c r="AI34" s="57">
        <f>0</f>
        <v>0</v>
      </c>
      <c r="AJ34" s="57">
        <f>0</f>
        <v>0</v>
      </c>
      <c r="AK34" s="57">
        <f>0</f>
        <v>0</v>
      </c>
      <c r="AL34" s="58">
        <f>0</f>
        <v>0</v>
      </c>
    </row>
    <row r="35" spans="1:38" ht="15" customHeight="1" outlineLevel="2">
      <c r="A35" s="298" t="s">
        <v>31</v>
      </c>
      <c r="B35" s="47" t="s">
        <v>167</v>
      </c>
      <c r="C35" s="284"/>
      <c r="D35" s="285" t="s">
        <v>227</v>
      </c>
      <c r="E35" s="91">
        <f>0</f>
        <v>0</v>
      </c>
      <c r="F35" s="54">
        <f>3472648</f>
        <v>3472648</v>
      </c>
      <c r="G35" s="54">
        <f>7000000</f>
        <v>7000000</v>
      </c>
      <c r="H35" s="55">
        <f>7000000</f>
        <v>7000000</v>
      </c>
      <c r="I35" s="56">
        <f>0</f>
        <v>0</v>
      </c>
      <c r="J35" s="57">
        <f>0</f>
        <v>0</v>
      </c>
      <c r="K35" s="57">
        <f>0</f>
        <v>0</v>
      </c>
      <c r="L35" s="57">
        <f>0</f>
        <v>0</v>
      </c>
      <c r="M35" s="57">
        <f>0</f>
        <v>0</v>
      </c>
      <c r="N35" s="57">
        <f>0</f>
        <v>0</v>
      </c>
      <c r="O35" s="57">
        <f>0</f>
        <v>0</v>
      </c>
      <c r="P35" s="57">
        <f>0</f>
        <v>0</v>
      </c>
      <c r="Q35" s="57">
        <f>0</f>
        <v>0</v>
      </c>
      <c r="R35" s="57">
        <f>0</f>
        <v>0</v>
      </c>
      <c r="S35" s="57">
        <f>0</f>
        <v>0</v>
      </c>
      <c r="T35" s="57">
        <f>0</f>
        <v>0</v>
      </c>
      <c r="U35" s="57">
        <f>0</f>
        <v>0</v>
      </c>
      <c r="V35" s="57">
        <f>0</f>
        <v>0</v>
      </c>
      <c r="W35" s="57">
        <f>0</f>
        <v>0</v>
      </c>
      <c r="X35" s="57">
        <f>0</f>
        <v>0</v>
      </c>
      <c r="Y35" s="57">
        <f>0</f>
        <v>0</v>
      </c>
      <c r="Z35" s="57">
        <f>0</f>
        <v>0</v>
      </c>
      <c r="AA35" s="57">
        <f>0</f>
        <v>0</v>
      </c>
      <c r="AB35" s="57">
        <f>0</f>
        <v>0</v>
      </c>
      <c r="AC35" s="57">
        <f>0</f>
        <v>0</v>
      </c>
      <c r="AD35" s="57">
        <f>0</f>
        <v>0</v>
      </c>
      <c r="AE35" s="57">
        <f>0</f>
        <v>0</v>
      </c>
      <c r="AF35" s="57">
        <f>0</f>
        <v>0</v>
      </c>
      <c r="AG35" s="57">
        <f>0</f>
        <v>0</v>
      </c>
      <c r="AH35" s="57">
        <f>0</f>
        <v>0</v>
      </c>
      <c r="AI35" s="57">
        <f>0</f>
        <v>0</v>
      </c>
      <c r="AJ35" s="57">
        <f>0</f>
        <v>0</v>
      </c>
      <c r="AK35" s="57">
        <f>0</f>
        <v>0</v>
      </c>
      <c r="AL35" s="58">
        <f>0</f>
        <v>0</v>
      </c>
    </row>
    <row r="36" spans="1:38" ht="15" customHeight="1" outlineLevel="3">
      <c r="A36" s="298" t="s">
        <v>31</v>
      </c>
      <c r="B36" s="47" t="s">
        <v>77</v>
      </c>
      <c r="C36" s="284"/>
      <c r="D36" s="286" t="s">
        <v>225</v>
      </c>
      <c r="E36" s="91">
        <f>0</f>
        <v>0</v>
      </c>
      <c r="F36" s="54">
        <f>0</f>
        <v>0</v>
      </c>
      <c r="G36" s="54">
        <f>7000000</f>
        <v>7000000</v>
      </c>
      <c r="H36" s="55">
        <f>3713303</f>
        <v>3713303</v>
      </c>
      <c r="I36" s="56">
        <f>0</f>
        <v>0</v>
      </c>
      <c r="J36" s="57">
        <f>0</f>
        <v>0</v>
      </c>
      <c r="K36" s="57">
        <f>0</f>
        <v>0</v>
      </c>
      <c r="L36" s="57">
        <f>0</f>
        <v>0</v>
      </c>
      <c r="M36" s="57">
        <f>0</f>
        <v>0</v>
      </c>
      <c r="N36" s="57">
        <f>0</f>
        <v>0</v>
      </c>
      <c r="O36" s="57">
        <f>0</f>
        <v>0</v>
      </c>
      <c r="P36" s="57">
        <f>0</f>
        <v>0</v>
      </c>
      <c r="Q36" s="57">
        <f>0</f>
        <v>0</v>
      </c>
      <c r="R36" s="57">
        <f>0</f>
        <v>0</v>
      </c>
      <c r="S36" s="57">
        <f>0</f>
        <v>0</v>
      </c>
      <c r="T36" s="57">
        <f>0</f>
        <v>0</v>
      </c>
      <c r="U36" s="57">
        <f>0</f>
        <v>0</v>
      </c>
      <c r="V36" s="57">
        <f>0</f>
        <v>0</v>
      </c>
      <c r="W36" s="57">
        <f>0</f>
        <v>0</v>
      </c>
      <c r="X36" s="57">
        <f>0</f>
        <v>0</v>
      </c>
      <c r="Y36" s="57">
        <f>0</f>
        <v>0</v>
      </c>
      <c r="Z36" s="57">
        <f>0</f>
        <v>0</v>
      </c>
      <c r="AA36" s="57">
        <f>0</f>
        <v>0</v>
      </c>
      <c r="AB36" s="57">
        <f>0</f>
        <v>0</v>
      </c>
      <c r="AC36" s="57">
        <f>0</f>
        <v>0</v>
      </c>
      <c r="AD36" s="57">
        <f>0</f>
        <v>0</v>
      </c>
      <c r="AE36" s="57">
        <f>0</f>
        <v>0</v>
      </c>
      <c r="AF36" s="57">
        <f>0</f>
        <v>0</v>
      </c>
      <c r="AG36" s="57">
        <f>0</f>
        <v>0</v>
      </c>
      <c r="AH36" s="57">
        <f>0</f>
        <v>0</v>
      </c>
      <c r="AI36" s="57">
        <f>0</f>
        <v>0</v>
      </c>
      <c r="AJ36" s="57">
        <f>0</f>
        <v>0</v>
      </c>
      <c r="AK36" s="57">
        <f>0</f>
        <v>0</v>
      </c>
      <c r="AL36" s="58">
        <f>0</f>
        <v>0</v>
      </c>
    </row>
    <row r="37" spans="1:38" ht="15" customHeight="1" outlineLevel="2">
      <c r="A37" s="298" t="s">
        <v>31</v>
      </c>
      <c r="B37" s="47" t="s">
        <v>168</v>
      </c>
      <c r="C37" s="284"/>
      <c r="D37" s="285" t="s">
        <v>228</v>
      </c>
      <c r="E37" s="91">
        <f>0</f>
        <v>0</v>
      </c>
      <c r="F37" s="54">
        <f>0</f>
        <v>0</v>
      </c>
      <c r="G37" s="54">
        <f>0</f>
        <v>0</v>
      </c>
      <c r="H37" s="55">
        <f>0</f>
        <v>0</v>
      </c>
      <c r="I37" s="56">
        <f>0</f>
        <v>0</v>
      </c>
      <c r="J37" s="57">
        <f>0</f>
        <v>0</v>
      </c>
      <c r="K37" s="57">
        <f>0</f>
        <v>0</v>
      </c>
      <c r="L37" s="57">
        <f>0</f>
        <v>0</v>
      </c>
      <c r="M37" s="57">
        <f>0</f>
        <v>0</v>
      </c>
      <c r="N37" s="57">
        <f>0</f>
        <v>0</v>
      </c>
      <c r="O37" s="57">
        <f>0</f>
        <v>0</v>
      </c>
      <c r="P37" s="57">
        <f>0</f>
        <v>0</v>
      </c>
      <c r="Q37" s="57">
        <f>0</f>
        <v>0</v>
      </c>
      <c r="R37" s="57">
        <f>0</f>
        <v>0</v>
      </c>
      <c r="S37" s="57">
        <f>0</f>
        <v>0</v>
      </c>
      <c r="T37" s="57">
        <f>0</f>
        <v>0</v>
      </c>
      <c r="U37" s="57">
        <f>0</f>
        <v>0</v>
      </c>
      <c r="V37" s="57">
        <f>0</f>
        <v>0</v>
      </c>
      <c r="W37" s="57">
        <f>0</f>
        <v>0</v>
      </c>
      <c r="X37" s="57">
        <f>0</f>
        <v>0</v>
      </c>
      <c r="Y37" s="57">
        <f>0</f>
        <v>0</v>
      </c>
      <c r="Z37" s="57">
        <f>0</f>
        <v>0</v>
      </c>
      <c r="AA37" s="57">
        <f>0</f>
        <v>0</v>
      </c>
      <c r="AB37" s="57">
        <f>0</f>
        <v>0</v>
      </c>
      <c r="AC37" s="57">
        <f>0</f>
        <v>0</v>
      </c>
      <c r="AD37" s="57">
        <f>0</f>
        <v>0</v>
      </c>
      <c r="AE37" s="57">
        <f>0</f>
        <v>0</v>
      </c>
      <c r="AF37" s="57">
        <f>0</f>
        <v>0</v>
      </c>
      <c r="AG37" s="57">
        <f>0</f>
        <v>0</v>
      </c>
      <c r="AH37" s="57">
        <f>0</f>
        <v>0</v>
      </c>
      <c r="AI37" s="57">
        <f>0</f>
        <v>0</v>
      </c>
      <c r="AJ37" s="57">
        <f>0</f>
        <v>0</v>
      </c>
      <c r="AK37" s="57">
        <f>0</f>
        <v>0</v>
      </c>
      <c r="AL37" s="58">
        <f>0</f>
        <v>0</v>
      </c>
    </row>
    <row r="38" spans="1:38" ht="15" customHeight="1" outlineLevel="3">
      <c r="A38" s="298" t="s">
        <v>31</v>
      </c>
      <c r="B38" s="47" t="s">
        <v>79</v>
      </c>
      <c r="C38" s="284"/>
      <c r="D38" s="286" t="s">
        <v>225</v>
      </c>
      <c r="E38" s="91">
        <f>0</f>
        <v>0</v>
      </c>
      <c r="F38" s="54">
        <f>0</f>
        <v>0</v>
      </c>
      <c r="G38" s="54">
        <f>0</f>
        <v>0</v>
      </c>
      <c r="H38" s="55">
        <f>0</f>
        <v>0</v>
      </c>
      <c r="I38" s="56">
        <f>0</f>
        <v>0</v>
      </c>
      <c r="J38" s="57">
        <f>0</f>
        <v>0</v>
      </c>
      <c r="K38" s="57">
        <f>0</f>
        <v>0</v>
      </c>
      <c r="L38" s="57">
        <f>0</f>
        <v>0</v>
      </c>
      <c r="M38" s="57">
        <f>0</f>
        <v>0</v>
      </c>
      <c r="N38" s="57">
        <f>0</f>
        <v>0</v>
      </c>
      <c r="O38" s="57">
        <f>0</f>
        <v>0</v>
      </c>
      <c r="P38" s="57">
        <f>0</f>
        <v>0</v>
      </c>
      <c r="Q38" s="57">
        <f>0</f>
        <v>0</v>
      </c>
      <c r="R38" s="57">
        <f>0</f>
        <v>0</v>
      </c>
      <c r="S38" s="57">
        <f>0</f>
        <v>0</v>
      </c>
      <c r="T38" s="57">
        <f>0</f>
        <v>0</v>
      </c>
      <c r="U38" s="57">
        <f>0</f>
        <v>0</v>
      </c>
      <c r="V38" s="57">
        <f>0</f>
        <v>0</v>
      </c>
      <c r="W38" s="57">
        <f>0</f>
        <v>0</v>
      </c>
      <c r="X38" s="57">
        <f>0</f>
        <v>0</v>
      </c>
      <c r="Y38" s="57">
        <f>0</f>
        <v>0</v>
      </c>
      <c r="Z38" s="57">
        <f>0</f>
        <v>0</v>
      </c>
      <c r="AA38" s="57">
        <f>0</f>
        <v>0</v>
      </c>
      <c r="AB38" s="57">
        <f>0</f>
        <v>0</v>
      </c>
      <c r="AC38" s="57">
        <f>0</f>
        <v>0</v>
      </c>
      <c r="AD38" s="57">
        <f>0</f>
        <v>0</v>
      </c>
      <c r="AE38" s="57">
        <f>0</f>
        <v>0</v>
      </c>
      <c r="AF38" s="57">
        <f>0</f>
        <v>0</v>
      </c>
      <c r="AG38" s="57">
        <f>0</f>
        <v>0</v>
      </c>
      <c r="AH38" s="57">
        <f>0</f>
        <v>0</v>
      </c>
      <c r="AI38" s="57">
        <f>0</f>
        <v>0</v>
      </c>
      <c r="AJ38" s="57">
        <f>0</f>
        <v>0</v>
      </c>
      <c r="AK38" s="57">
        <f>0</f>
        <v>0</v>
      </c>
      <c r="AL38" s="58">
        <f>0</f>
        <v>0</v>
      </c>
    </row>
    <row r="39" spans="1:39" ht="15" customHeight="1" outlineLevel="1">
      <c r="A39" s="298" t="s">
        <v>31</v>
      </c>
      <c r="B39" s="46">
        <v>5</v>
      </c>
      <c r="C39" s="299"/>
      <c r="D39" s="283" t="s">
        <v>80</v>
      </c>
      <c r="E39" s="90">
        <f>3474681</f>
        <v>3474681</v>
      </c>
      <c r="F39" s="49">
        <f>3472648</f>
        <v>3472648</v>
      </c>
      <c r="G39" s="49">
        <f>3819913</f>
        <v>3819913</v>
      </c>
      <c r="H39" s="50">
        <f>3819912</f>
        <v>3819912</v>
      </c>
      <c r="I39" s="51">
        <f>4319913</f>
        <v>4319913</v>
      </c>
      <c r="J39" s="52">
        <f>4319922</f>
        <v>4319922</v>
      </c>
      <c r="K39" s="52">
        <f aca="true" t="shared" si="3" ref="K39:P40">2501733</f>
        <v>2501733</v>
      </c>
      <c r="L39" s="52">
        <f t="shared" si="3"/>
        <v>2501733</v>
      </c>
      <c r="M39" s="52">
        <f t="shared" si="3"/>
        <v>2501733</v>
      </c>
      <c r="N39" s="52">
        <f t="shared" si="3"/>
        <v>2501733</v>
      </c>
      <c r="O39" s="52">
        <f t="shared" si="3"/>
        <v>2501733</v>
      </c>
      <c r="P39" s="52">
        <f t="shared" si="3"/>
        <v>2501733</v>
      </c>
      <c r="Q39" s="52">
        <f>2501731</f>
        <v>2501731</v>
      </c>
      <c r="R39" s="52">
        <f>2154468</f>
        <v>2154468</v>
      </c>
      <c r="S39" s="52">
        <f>2154468</f>
        <v>2154468</v>
      </c>
      <c r="T39" s="52">
        <f>2154460</f>
        <v>2154460</v>
      </c>
      <c r="U39" s="52">
        <f>500000</f>
        <v>500000</v>
      </c>
      <c r="V39" s="52">
        <f>500000</f>
        <v>500000</v>
      </c>
      <c r="W39" s="52">
        <f>0</f>
        <v>0</v>
      </c>
      <c r="X39" s="52">
        <f>0</f>
        <v>0</v>
      </c>
      <c r="Y39" s="52">
        <f>0</f>
        <v>0</v>
      </c>
      <c r="Z39" s="52">
        <f>0</f>
        <v>0</v>
      </c>
      <c r="AA39" s="52">
        <f>0</f>
        <v>0</v>
      </c>
      <c r="AB39" s="52">
        <f>0</f>
        <v>0</v>
      </c>
      <c r="AC39" s="52">
        <f>0</f>
        <v>0</v>
      </c>
      <c r="AD39" s="52">
        <f>0</f>
        <v>0</v>
      </c>
      <c r="AE39" s="52">
        <f>0</f>
        <v>0</v>
      </c>
      <c r="AF39" s="52">
        <f>0</f>
        <v>0</v>
      </c>
      <c r="AG39" s="52">
        <f>0</f>
        <v>0</v>
      </c>
      <c r="AH39" s="52">
        <f>0</f>
        <v>0</v>
      </c>
      <c r="AI39" s="52">
        <f>0</f>
        <v>0</v>
      </c>
      <c r="AJ39" s="52">
        <f>0</f>
        <v>0</v>
      </c>
      <c r="AK39" s="52">
        <f>0</f>
        <v>0</v>
      </c>
      <c r="AL39" s="53">
        <f>0</f>
        <v>0</v>
      </c>
      <c r="AM39" s="42"/>
    </row>
    <row r="40" spans="1:38" ht="15" customHeight="1" outlineLevel="2">
      <c r="A40" s="298" t="s">
        <v>31</v>
      </c>
      <c r="B40" s="47" t="s">
        <v>169</v>
      </c>
      <c r="C40" s="284"/>
      <c r="D40" s="285" t="s">
        <v>229</v>
      </c>
      <c r="E40" s="91">
        <f>3474681</f>
        <v>3474681</v>
      </c>
      <c r="F40" s="54">
        <f>3472648</f>
        <v>3472648</v>
      </c>
      <c r="G40" s="54">
        <f>3819913</f>
        <v>3819913</v>
      </c>
      <c r="H40" s="55">
        <f>3819912</f>
        <v>3819912</v>
      </c>
      <c r="I40" s="56">
        <f>4319913</f>
        <v>4319913</v>
      </c>
      <c r="J40" s="57">
        <f>4319922</f>
        <v>4319922</v>
      </c>
      <c r="K40" s="57">
        <f t="shared" si="3"/>
        <v>2501733</v>
      </c>
      <c r="L40" s="57">
        <f t="shared" si="3"/>
        <v>2501733</v>
      </c>
      <c r="M40" s="57">
        <f t="shared" si="3"/>
        <v>2501733</v>
      </c>
      <c r="N40" s="57">
        <f t="shared" si="3"/>
        <v>2501733</v>
      </c>
      <c r="O40" s="57">
        <f t="shared" si="3"/>
        <v>2501733</v>
      </c>
      <c r="P40" s="57">
        <f t="shared" si="3"/>
        <v>2501733</v>
      </c>
      <c r="Q40" s="57">
        <f>2501731</f>
        <v>2501731</v>
      </c>
      <c r="R40" s="57">
        <f>2154468</f>
        <v>2154468</v>
      </c>
      <c r="S40" s="57">
        <f>2154468</f>
        <v>2154468</v>
      </c>
      <c r="T40" s="57">
        <f>2154460</f>
        <v>2154460</v>
      </c>
      <c r="U40" s="57">
        <f>500000</f>
        <v>500000</v>
      </c>
      <c r="V40" s="57">
        <f>500000</f>
        <v>500000</v>
      </c>
      <c r="W40" s="57">
        <f>0</f>
        <v>0</v>
      </c>
      <c r="X40" s="57">
        <f>0</f>
        <v>0</v>
      </c>
      <c r="Y40" s="57">
        <f>0</f>
        <v>0</v>
      </c>
      <c r="Z40" s="57">
        <f>0</f>
        <v>0</v>
      </c>
      <c r="AA40" s="57">
        <f>0</f>
        <v>0</v>
      </c>
      <c r="AB40" s="57">
        <f>0</f>
        <v>0</v>
      </c>
      <c r="AC40" s="57">
        <f>0</f>
        <v>0</v>
      </c>
      <c r="AD40" s="57">
        <f>0</f>
        <v>0</v>
      </c>
      <c r="AE40" s="57">
        <f>0</f>
        <v>0</v>
      </c>
      <c r="AF40" s="57">
        <f>0</f>
        <v>0</v>
      </c>
      <c r="AG40" s="57">
        <f>0</f>
        <v>0</v>
      </c>
      <c r="AH40" s="57">
        <f>0</f>
        <v>0</v>
      </c>
      <c r="AI40" s="57">
        <f>0</f>
        <v>0</v>
      </c>
      <c r="AJ40" s="57">
        <f>0</f>
        <v>0</v>
      </c>
      <c r="AK40" s="57">
        <f>0</f>
        <v>0</v>
      </c>
      <c r="AL40" s="58">
        <f>0</f>
        <v>0</v>
      </c>
    </row>
    <row r="41" spans="1:38" ht="62.25" customHeight="1" outlineLevel="3">
      <c r="A41" s="298" t="s">
        <v>31</v>
      </c>
      <c r="B41" s="47" t="s">
        <v>82</v>
      </c>
      <c r="C41" s="284"/>
      <c r="D41" s="286" t="s">
        <v>424</v>
      </c>
      <c r="E41" s="91">
        <f>0</f>
        <v>0</v>
      </c>
      <c r="F41" s="54">
        <f>0</f>
        <v>0</v>
      </c>
      <c r="G41" s="54">
        <f>0</f>
        <v>0</v>
      </c>
      <c r="H41" s="55">
        <f>0</f>
        <v>0</v>
      </c>
      <c r="I41" s="56">
        <f>0</f>
        <v>0</v>
      </c>
      <c r="J41" s="57">
        <f>0</f>
        <v>0</v>
      </c>
      <c r="K41" s="57">
        <f>0</f>
        <v>0</v>
      </c>
      <c r="L41" s="57">
        <f>0</f>
        <v>0</v>
      </c>
      <c r="M41" s="57">
        <f>0</f>
        <v>0</v>
      </c>
      <c r="N41" s="57">
        <f>0</f>
        <v>0</v>
      </c>
      <c r="O41" s="57">
        <f>0</f>
        <v>0</v>
      </c>
      <c r="P41" s="57">
        <f>0</f>
        <v>0</v>
      </c>
      <c r="Q41" s="57">
        <f>0</f>
        <v>0</v>
      </c>
      <c r="R41" s="57">
        <f>0</f>
        <v>0</v>
      </c>
      <c r="S41" s="57">
        <f>0</f>
        <v>0</v>
      </c>
      <c r="T41" s="57">
        <f>0</f>
        <v>0</v>
      </c>
      <c r="U41" s="57">
        <f>0</f>
        <v>0</v>
      </c>
      <c r="V41" s="57">
        <f>0</f>
        <v>0</v>
      </c>
      <c r="W41" s="57">
        <f>0</f>
        <v>0</v>
      </c>
      <c r="X41" s="57">
        <f>0</f>
        <v>0</v>
      </c>
      <c r="Y41" s="57">
        <f>0</f>
        <v>0</v>
      </c>
      <c r="Z41" s="57">
        <f>0</f>
        <v>0</v>
      </c>
      <c r="AA41" s="57">
        <f>0</f>
        <v>0</v>
      </c>
      <c r="AB41" s="57">
        <f>0</f>
        <v>0</v>
      </c>
      <c r="AC41" s="57">
        <f>0</f>
        <v>0</v>
      </c>
      <c r="AD41" s="57">
        <f>0</f>
        <v>0</v>
      </c>
      <c r="AE41" s="57">
        <f>0</f>
        <v>0</v>
      </c>
      <c r="AF41" s="57">
        <f>0</f>
        <v>0</v>
      </c>
      <c r="AG41" s="57">
        <f>0</f>
        <v>0</v>
      </c>
      <c r="AH41" s="57">
        <f>0</f>
        <v>0</v>
      </c>
      <c r="AI41" s="57">
        <f>0</f>
        <v>0</v>
      </c>
      <c r="AJ41" s="57">
        <f>0</f>
        <v>0</v>
      </c>
      <c r="AK41" s="57">
        <f>0</f>
        <v>0</v>
      </c>
      <c r="AL41" s="58">
        <f>0</f>
        <v>0</v>
      </c>
    </row>
    <row r="42" spans="1:38" ht="25.5" customHeight="1" outlineLevel="3">
      <c r="A42" s="298" t="s">
        <v>31</v>
      </c>
      <c r="B42" s="47" t="s">
        <v>84</v>
      </c>
      <c r="C42" s="284"/>
      <c r="D42" s="287" t="s">
        <v>230</v>
      </c>
      <c r="E42" s="91">
        <f>0</f>
        <v>0</v>
      </c>
      <c r="F42" s="54">
        <f>0</f>
        <v>0</v>
      </c>
      <c r="G42" s="54">
        <f>0</f>
        <v>0</v>
      </c>
      <c r="H42" s="55">
        <f>0</f>
        <v>0</v>
      </c>
      <c r="I42" s="56">
        <f>0</f>
        <v>0</v>
      </c>
      <c r="J42" s="57">
        <f>0</f>
        <v>0</v>
      </c>
      <c r="K42" s="57">
        <f>0</f>
        <v>0</v>
      </c>
      <c r="L42" s="57">
        <f>0</f>
        <v>0</v>
      </c>
      <c r="M42" s="57">
        <f>0</f>
        <v>0</v>
      </c>
      <c r="N42" s="57">
        <f>0</f>
        <v>0</v>
      </c>
      <c r="O42" s="57">
        <f>0</f>
        <v>0</v>
      </c>
      <c r="P42" s="57">
        <f>0</f>
        <v>0</v>
      </c>
      <c r="Q42" s="57">
        <f>0</f>
        <v>0</v>
      </c>
      <c r="R42" s="57">
        <f>0</f>
        <v>0</v>
      </c>
      <c r="S42" s="57">
        <f>0</f>
        <v>0</v>
      </c>
      <c r="T42" s="57">
        <f>0</f>
        <v>0</v>
      </c>
      <c r="U42" s="57">
        <f>0</f>
        <v>0</v>
      </c>
      <c r="V42" s="57">
        <f>0</f>
        <v>0</v>
      </c>
      <c r="W42" s="57">
        <f>0</f>
        <v>0</v>
      </c>
      <c r="X42" s="57">
        <f>0</f>
        <v>0</v>
      </c>
      <c r="Y42" s="57">
        <f>0</f>
        <v>0</v>
      </c>
      <c r="Z42" s="57">
        <f>0</f>
        <v>0</v>
      </c>
      <c r="AA42" s="57">
        <f>0</f>
        <v>0</v>
      </c>
      <c r="AB42" s="57">
        <f>0</f>
        <v>0</v>
      </c>
      <c r="AC42" s="57">
        <f>0</f>
        <v>0</v>
      </c>
      <c r="AD42" s="57">
        <f>0</f>
        <v>0</v>
      </c>
      <c r="AE42" s="57">
        <f>0</f>
        <v>0</v>
      </c>
      <c r="AF42" s="57">
        <f>0</f>
        <v>0</v>
      </c>
      <c r="AG42" s="57">
        <f>0</f>
        <v>0</v>
      </c>
      <c r="AH42" s="57">
        <f>0</f>
        <v>0</v>
      </c>
      <c r="AI42" s="57">
        <f>0</f>
        <v>0</v>
      </c>
      <c r="AJ42" s="57">
        <f>0</f>
        <v>0</v>
      </c>
      <c r="AK42" s="57">
        <f>0</f>
        <v>0</v>
      </c>
      <c r="AL42" s="58">
        <f>0</f>
        <v>0</v>
      </c>
    </row>
    <row r="43" spans="2:38" ht="15" customHeight="1" outlineLevel="2">
      <c r="B43" s="47" t="s">
        <v>170</v>
      </c>
      <c r="C43" s="284"/>
      <c r="D43" s="285" t="s">
        <v>231</v>
      </c>
      <c r="E43" s="91">
        <f>0</f>
        <v>0</v>
      </c>
      <c r="F43" s="54">
        <f>0</f>
        <v>0</v>
      </c>
      <c r="G43" s="54">
        <f>0</f>
        <v>0</v>
      </c>
      <c r="H43" s="55">
        <f>0</f>
        <v>0</v>
      </c>
      <c r="I43" s="56">
        <f>0</f>
        <v>0</v>
      </c>
      <c r="J43" s="57">
        <f>0</f>
        <v>0</v>
      </c>
      <c r="K43" s="57">
        <f>0</f>
        <v>0</v>
      </c>
      <c r="L43" s="57">
        <f>0</f>
        <v>0</v>
      </c>
      <c r="M43" s="57">
        <f>0</f>
        <v>0</v>
      </c>
      <c r="N43" s="57">
        <f>0</f>
        <v>0</v>
      </c>
      <c r="O43" s="57">
        <f>0</f>
        <v>0</v>
      </c>
      <c r="P43" s="57">
        <f>0</f>
        <v>0</v>
      </c>
      <c r="Q43" s="57">
        <f>0</f>
        <v>0</v>
      </c>
      <c r="R43" s="57">
        <f>0</f>
        <v>0</v>
      </c>
      <c r="S43" s="57">
        <f>0</f>
        <v>0</v>
      </c>
      <c r="T43" s="57">
        <f>0</f>
        <v>0</v>
      </c>
      <c r="U43" s="57">
        <f>0</f>
        <v>0</v>
      </c>
      <c r="V43" s="57">
        <f>0</f>
        <v>0</v>
      </c>
      <c r="W43" s="57">
        <f>0</f>
        <v>0</v>
      </c>
      <c r="X43" s="57">
        <f>0</f>
        <v>0</v>
      </c>
      <c r="Y43" s="57">
        <f>0</f>
        <v>0</v>
      </c>
      <c r="Z43" s="57">
        <f>0</f>
        <v>0</v>
      </c>
      <c r="AA43" s="57">
        <f>0</f>
        <v>0</v>
      </c>
      <c r="AB43" s="57">
        <f>0</f>
        <v>0</v>
      </c>
      <c r="AC43" s="57">
        <f>0</f>
        <v>0</v>
      </c>
      <c r="AD43" s="57">
        <f>0</f>
        <v>0</v>
      </c>
      <c r="AE43" s="57">
        <f>0</f>
        <v>0</v>
      </c>
      <c r="AF43" s="57">
        <f>0</f>
        <v>0</v>
      </c>
      <c r="AG43" s="57">
        <f>0</f>
        <v>0</v>
      </c>
      <c r="AH43" s="57">
        <f>0</f>
        <v>0</v>
      </c>
      <c r="AI43" s="57">
        <f>0</f>
        <v>0</v>
      </c>
      <c r="AJ43" s="57">
        <f>0</f>
        <v>0</v>
      </c>
      <c r="AK43" s="57">
        <f>0</f>
        <v>0</v>
      </c>
      <c r="AL43" s="58">
        <f>0</f>
        <v>0</v>
      </c>
    </row>
    <row r="44" spans="1:39" ht="15" customHeight="1" outlineLevel="1">
      <c r="A44" s="298" t="s">
        <v>31</v>
      </c>
      <c r="B44" s="46">
        <v>6</v>
      </c>
      <c r="C44" s="299"/>
      <c r="D44" s="283" t="s">
        <v>27</v>
      </c>
      <c r="E44" s="90">
        <f>30435273</f>
        <v>30435273</v>
      </c>
      <c r="F44" s="49">
        <f>30435274</f>
        <v>30435274</v>
      </c>
      <c r="G44" s="49">
        <f>43215360</f>
        <v>43215360</v>
      </c>
      <c r="H44" s="50">
        <f>43215362</f>
        <v>43215362</v>
      </c>
      <c r="I44" s="51">
        <f>49895447</f>
        <v>49895447</v>
      </c>
      <c r="J44" s="52">
        <f>37575525</f>
        <v>37575525</v>
      </c>
      <c r="K44" s="52">
        <f>26473792</f>
        <v>26473792</v>
      </c>
      <c r="L44" s="52">
        <f>19972059</f>
        <v>19972059</v>
      </c>
      <c r="M44" s="52">
        <f>17470326</f>
        <v>17470326</v>
      </c>
      <c r="N44" s="52">
        <f>14968593</f>
        <v>14968593</v>
      </c>
      <c r="O44" s="52">
        <f>12466860</f>
        <v>12466860</v>
      </c>
      <c r="P44" s="52">
        <f>9965127</f>
        <v>9965127</v>
      </c>
      <c r="Q44" s="52">
        <f>7463396</f>
        <v>7463396</v>
      </c>
      <c r="R44" s="52">
        <f>5308928</f>
        <v>5308928</v>
      </c>
      <c r="S44" s="52">
        <f>3154460</f>
        <v>3154460</v>
      </c>
      <c r="T44" s="52">
        <f>1000000</f>
        <v>1000000</v>
      </c>
      <c r="U44" s="52">
        <f>500000</f>
        <v>500000</v>
      </c>
      <c r="V44" s="52">
        <f>0</f>
        <v>0</v>
      </c>
      <c r="W44" s="52">
        <f>0</f>
        <v>0</v>
      </c>
      <c r="X44" s="52">
        <f>0</f>
        <v>0</v>
      </c>
      <c r="Y44" s="52">
        <f>0</f>
        <v>0</v>
      </c>
      <c r="Z44" s="52">
        <f>0</f>
        <v>0</v>
      </c>
      <c r="AA44" s="52">
        <f>0</f>
        <v>0</v>
      </c>
      <c r="AB44" s="52">
        <f>0</f>
        <v>0</v>
      </c>
      <c r="AC44" s="52">
        <f>0</f>
        <v>0</v>
      </c>
      <c r="AD44" s="52">
        <f>0</f>
        <v>0</v>
      </c>
      <c r="AE44" s="52">
        <f>0</f>
        <v>0</v>
      </c>
      <c r="AF44" s="52">
        <f>0</f>
        <v>0</v>
      </c>
      <c r="AG44" s="52">
        <f>0</f>
        <v>0</v>
      </c>
      <c r="AH44" s="52">
        <f>0</f>
        <v>0</v>
      </c>
      <c r="AI44" s="52">
        <f>0</f>
        <v>0</v>
      </c>
      <c r="AJ44" s="52">
        <f>0</f>
        <v>0</v>
      </c>
      <c r="AK44" s="52">
        <f>0</f>
        <v>0</v>
      </c>
      <c r="AL44" s="53">
        <f>0</f>
        <v>0</v>
      </c>
      <c r="AM44" s="42"/>
    </row>
    <row r="45" spans="2:38" ht="25.5" customHeight="1" outlineLevel="2">
      <c r="B45" s="47" t="s">
        <v>171</v>
      </c>
      <c r="C45" s="284"/>
      <c r="D45" s="285" t="s">
        <v>425</v>
      </c>
      <c r="E45" s="91">
        <f>0</f>
        <v>0</v>
      </c>
      <c r="F45" s="54">
        <f>0</f>
        <v>0</v>
      </c>
      <c r="G45" s="54">
        <f>0</f>
        <v>0</v>
      </c>
      <c r="H45" s="55">
        <f>0</f>
        <v>0</v>
      </c>
      <c r="I45" s="56">
        <f>0</f>
        <v>0</v>
      </c>
      <c r="J45" s="57">
        <f>0</f>
        <v>0</v>
      </c>
      <c r="K45" s="57">
        <f>0</f>
        <v>0</v>
      </c>
      <c r="L45" s="57">
        <f>0</f>
        <v>0</v>
      </c>
      <c r="M45" s="57">
        <f>0</f>
        <v>0</v>
      </c>
      <c r="N45" s="57">
        <f>0</f>
        <v>0</v>
      </c>
      <c r="O45" s="57">
        <f>0</f>
        <v>0</v>
      </c>
      <c r="P45" s="57">
        <f>0</f>
        <v>0</v>
      </c>
      <c r="Q45" s="57">
        <f>0</f>
        <v>0</v>
      </c>
      <c r="R45" s="57">
        <f>0</f>
        <v>0</v>
      </c>
      <c r="S45" s="57">
        <f>0</f>
        <v>0</v>
      </c>
      <c r="T45" s="57">
        <f>0</f>
        <v>0</v>
      </c>
      <c r="U45" s="57">
        <f>0</f>
        <v>0</v>
      </c>
      <c r="V45" s="57">
        <f>0</f>
        <v>0</v>
      </c>
      <c r="W45" s="57">
        <f>0</f>
        <v>0</v>
      </c>
      <c r="X45" s="57">
        <f>0</f>
        <v>0</v>
      </c>
      <c r="Y45" s="57">
        <f>0</f>
        <v>0</v>
      </c>
      <c r="Z45" s="57">
        <f>0</f>
        <v>0</v>
      </c>
      <c r="AA45" s="57">
        <f>0</f>
        <v>0</v>
      </c>
      <c r="AB45" s="57">
        <f>0</f>
        <v>0</v>
      </c>
      <c r="AC45" s="57">
        <f>0</f>
        <v>0</v>
      </c>
      <c r="AD45" s="57">
        <f>0</f>
        <v>0</v>
      </c>
      <c r="AE45" s="57">
        <f>0</f>
        <v>0</v>
      </c>
      <c r="AF45" s="57">
        <f>0</f>
        <v>0</v>
      </c>
      <c r="AG45" s="57">
        <f>0</f>
        <v>0</v>
      </c>
      <c r="AH45" s="57">
        <f>0</f>
        <v>0</v>
      </c>
      <c r="AI45" s="57">
        <f>0</f>
        <v>0</v>
      </c>
      <c r="AJ45" s="57">
        <f>0</f>
        <v>0</v>
      </c>
      <c r="AK45" s="57">
        <f>0</f>
        <v>0</v>
      </c>
      <c r="AL45" s="58">
        <f>0</f>
        <v>0</v>
      </c>
    </row>
    <row r="46" spans="2:38" ht="15" customHeight="1" outlineLevel="3">
      <c r="B46" s="47" t="s">
        <v>88</v>
      </c>
      <c r="C46" s="284"/>
      <c r="D46" s="286" t="s">
        <v>408</v>
      </c>
      <c r="E46" s="91">
        <f>0</f>
        <v>0</v>
      </c>
      <c r="F46" s="54">
        <f>0</f>
        <v>0</v>
      </c>
      <c r="G46" s="54">
        <f>0</f>
        <v>0</v>
      </c>
      <c r="H46" s="55">
        <f>0</f>
        <v>0</v>
      </c>
      <c r="I46" s="56">
        <f>0</f>
        <v>0</v>
      </c>
      <c r="J46" s="57">
        <f>0</f>
        <v>0</v>
      </c>
      <c r="K46" s="57">
        <f>0</f>
        <v>0</v>
      </c>
      <c r="L46" s="57">
        <f>0</f>
        <v>0</v>
      </c>
      <c r="M46" s="57">
        <f>0</f>
        <v>0</v>
      </c>
      <c r="N46" s="57">
        <f>0</f>
        <v>0</v>
      </c>
      <c r="O46" s="57">
        <f>0</f>
        <v>0</v>
      </c>
      <c r="P46" s="57">
        <f>0</f>
        <v>0</v>
      </c>
      <c r="Q46" s="57">
        <f>0</f>
        <v>0</v>
      </c>
      <c r="R46" s="57">
        <f>0</f>
        <v>0</v>
      </c>
      <c r="S46" s="57">
        <f>0</f>
        <v>0</v>
      </c>
      <c r="T46" s="57">
        <f>0</f>
        <v>0</v>
      </c>
      <c r="U46" s="57">
        <f>0</f>
        <v>0</v>
      </c>
      <c r="V46" s="57">
        <f>0</f>
        <v>0</v>
      </c>
      <c r="W46" s="57">
        <f>0</f>
        <v>0</v>
      </c>
      <c r="X46" s="57">
        <f>0</f>
        <v>0</v>
      </c>
      <c r="Y46" s="57">
        <f>0</f>
        <v>0</v>
      </c>
      <c r="Z46" s="57">
        <f>0</f>
        <v>0</v>
      </c>
      <c r="AA46" s="57">
        <f>0</f>
        <v>0</v>
      </c>
      <c r="AB46" s="57">
        <f>0</f>
        <v>0</v>
      </c>
      <c r="AC46" s="57">
        <f>0</f>
        <v>0</v>
      </c>
      <c r="AD46" s="57">
        <f>0</f>
        <v>0</v>
      </c>
      <c r="AE46" s="57">
        <f>0</f>
        <v>0</v>
      </c>
      <c r="AF46" s="57">
        <f>0</f>
        <v>0</v>
      </c>
      <c r="AG46" s="57">
        <f>0</f>
        <v>0</v>
      </c>
      <c r="AH46" s="57">
        <f>0</f>
        <v>0</v>
      </c>
      <c r="AI46" s="57">
        <f>0</f>
        <v>0</v>
      </c>
      <c r="AJ46" s="57">
        <f>0</f>
        <v>0</v>
      </c>
      <c r="AK46" s="57">
        <f>0</f>
        <v>0</v>
      </c>
      <c r="AL46" s="58">
        <f>0</f>
        <v>0</v>
      </c>
    </row>
    <row r="47" spans="2:38" ht="25.5" customHeight="1" outlineLevel="2">
      <c r="B47" s="47" t="s">
        <v>172</v>
      </c>
      <c r="C47" s="284"/>
      <c r="D47" s="285" t="s">
        <v>426</v>
      </c>
      <c r="E47" s="93">
        <f>0.3677</f>
        <v>0.3677</v>
      </c>
      <c r="F47" s="63">
        <f>0.3734</f>
        <v>0.3734</v>
      </c>
      <c r="G47" s="63">
        <f>0.4799</f>
        <v>0.4799</v>
      </c>
      <c r="H47" s="64">
        <f>0.4735</f>
        <v>0.4735</v>
      </c>
      <c r="I47" s="65">
        <f>0.4647</f>
        <v>0.4647</v>
      </c>
      <c r="J47" s="66">
        <f>0.3859</f>
        <v>0.3859</v>
      </c>
      <c r="K47" s="66">
        <f>0.2873</f>
        <v>0.2873</v>
      </c>
      <c r="L47" s="66">
        <f>0.2299</f>
        <v>0.2299</v>
      </c>
      <c r="M47" s="66">
        <f>0.2132</f>
        <v>0.2132</v>
      </c>
      <c r="N47" s="66">
        <f>0.1807</f>
        <v>0.1807</v>
      </c>
      <c r="O47" s="66">
        <f>0.1496</f>
        <v>0.1496</v>
      </c>
      <c r="P47" s="66">
        <f>0.1182</f>
        <v>0.1182</v>
      </c>
      <c r="Q47" s="66">
        <f>0.0876</f>
        <v>0.0876</v>
      </c>
      <c r="R47" s="66">
        <f>0.0619</f>
        <v>0.0619</v>
      </c>
      <c r="S47" s="66">
        <f>0.0364</f>
        <v>0.0364</v>
      </c>
      <c r="T47" s="66">
        <f>0.0114</f>
        <v>0.0114</v>
      </c>
      <c r="U47" s="66">
        <f>0.0056</f>
        <v>0.0056</v>
      </c>
      <c r="V47" s="66">
        <f>0</f>
        <v>0</v>
      </c>
      <c r="W47" s="66">
        <f>0</f>
        <v>0</v>
      </c>
      <c r="X47" s="66">
        <f>0</f>
        <v>0</v>
      </c>
      <c r="Y47" s="66">
        <f>0</f>
        <v>0</v>
      </c>
      <c r="Z47" s="66">
        <f>0</f>
        <v>0</v>
      </c>
      <c r="AA47" s="66">
        <f>0</f>
        <v>0</v>
      </c>
      <c r="AB47" s="66">
        <f>0</f>
        <v>0</v>
      </c>
      <c r="AC47" s="66">
        <f>0</f>
        <v>0</v>
      </c>
      <c r="AD47" s="66">
        <f>0</f>
        <v>0</v>
      </c>
      <c r="AE47" s="66">
        <f>0</f>
        <v>0</v>
      </c>
      <c r="AF47" s="66">
        <f>0</f>
        <v>0</v>
      </c>
      <c r="AG47" s="66">
        <f>0</f>
        <v>0</v>
      </c>
      <c r="AH47" s="66">
        <f>0</f>
        <v>0</v>
      </c>
      <c r="AI47" s="66">
        <f>0</f>
        <v>0</v>
      </c>
      <c r="AJ47" s="66">
        <f>0</f>
        <v>0</v>
      </c>
      <c r="AK47" s="66">
        <f>0</f>
        <v>0</v>
      </c>
      <c r="AL47" s="67">
        <f>0</f>
        <v>0</v>
      </c>
    </row>
    <row r="48" spans="2:38" ht="25.5" customHeight="1" outlineLevel="2">
      <c r="B48" s="47" t="s">
        <v>173</v>
      </c>
      <c r="C48" s="284"/>
      <c r="D48" s="285" t="s">
        <v>427</v>
      </c>
      <c r="E48" s="93">
        <f>0.3677</f>
        <v>0.3677</v>
      </c>
      <c r="F48" s="63">
        <f>0.3734</f>
        <v>0.3734</v>
      </c>
      <c r="G48" s="63">
        <f>0.4799</f>
        <v>0.4799</v>
      </c>
      <c r="H48" s="64">
        <f>0.4735</f>
        <v>0.4735</v>
      </c>
      <c r="I48" s="65">
        <f>0.4647</f>
        <v>0.4647</v>
      </c>
      <c r="J48" s="66">
        <f>0.3859</f>
        <v>0.3859</v>
      </c>
      <c r="K48" s="66">
        <f>0.2873</f>
        <v>0.2873</v>
      </c>
      <c r="L48" s="66">
        <f>0.2299</f>
        <v>0.2299</v>
      </c>
      <c r="M48" s="66">
        <f>0.2132</f>
        <v>0.2132</v>
      </c>
      <c r="N48" s="66">
        <f>0.1807</f>
        <v>0.1807</v>
      </c>
      <c r="O48" s="66">
        <f>0.1496</f>
        <v>0.1496</v>
      </c>
      <c r="P48" s="66">
        <f>0.1182</f>
        <v>0.1182</v>
      </c>
      <c r="Q48" s="66">
        <f>0.0876</f>
        <v>0.0876</v>
      </c>
      <c r="R48" s="66">
        <f>0.0619</f>
        <v>0.0619</v>
      </c>
      <c r="S48" s="66">
        <f>0.0364</f>
        <v>0.0364</v>
      </c>
      <c r="T48" s="66">
        <f>0.0114</f>
        <v>0.0114</v>
      </c>
      <c r="U48" s="66">
        <f>0.0056</f>
        <v>0.0056</v>
      </c>
      <c r="V48" s="66">
        <f>0</f>
        <v>0</v>
      </c>
      <c r="W48" s="66">
        <f>0</f>
        <v>0</v>
      </c>
      <c r="X48" s="66">
        <f>0</f>
        <v>0</v>
      </c>
      <c r="Y48" s="66">
        <f>0</f>
        <v>0</v>
      </c>
      <c r="Z48" s="66">
        <f>0</f>
        <v>0</v>
      </c>
      <c r="AA48" s="66">
        <f>0</f>
        <v>0</v>
      </c>
      <c r="AB48" s="66">
        <f>0</f>
        <v>0</v>
      </c>
      <c r="AC48" s="66">
        <f>0</f>
        <v>0</v>
      </c>
      <c r="AD48" s="66">
        <f>0</f>
        <v>0</v>
      </c>
      <c r="AE48" s="66">
        <f>0</f>
        <v>0</v>
      </c>
      <c r="AF48" s="66">
        <f>0</f>
        <v>0</v>
      </c>
      <c r="AG48" s="66">
        <f>0</f>
        <v>0</v>
      </c>
      <c r="AH48" s="66">
        <f>0</f>
        <v>0</v>
      </c>
      <c r="AI48" s="66">
        <f>0</f>
        <v>0</v>
      </c>
      <c r="AJ48" s="66">
        <f>0</f>
        <v>0</v>
      </c>
      <c r="AK48" s="66">
        <f>0</f>
        <v>0</v>
      </c>
      <c r="AL48" s="67">
        <f>0</f>
        <v>0</v>
      </c>
    </row>
    <row r="49" spans="2:39" ht="39" customHeight="1" outlineLevel="1">
      <c r="B49" s="46">
        <v>7</v>
      </c>
      <c r="C49" s="299"/>
      <c r="D49" s="283" t="s">
        <v>270</v>
      </c>
      <c r="E49" s="90">
        <f>0</f>
        <v>0</v>
      </c>
      <c r="F49" s="49">
        <f>0</f>
        <v>0</v>
      </c>
      <c r="G49" s="49">
        <f>0</f>
        <v>0</v>
      </c>
      <c r="H49" s="50">
        <f>0</f>
        <v>0</v>
      </c>
      <c r="I49" s="51">
        <f>0</f>
        <v>0</v>
      </c>
      <c r="J49" s="52">
        <f>0</f>
        <v>0</v>
      </c>
      <c r="K49" s="52">
        <f>0</f>
        <v>0</v>
      </c>
      <c r="L49" s="52">
        <f>0</f>
        <v>0</v>
      </c>
      <c r="M49" s="52">
        <f>0</f>
        <v>0</v>
      </c>
      <c r="N49" s="52">
        <f>0</f>
        <v>0</v>
      </c>
      <c r="O49" s="52">
        <f>0</f>
        <v>0</v>
      </c>
      <c r="P49" s="52">
        <f>0</f>
        <v>0</v>
      </c>
      <c r="Q49" s="52">
        <f>0</f>
        <v>0</v>
      </c>
      <c r="R49" s="52">
        <f>0</f>
        <v>0</v>
      </c>
      <c r="S49" s="52">
        <f>0</f>
        <v>0</v>
      </c>
      <c r="T49" s="52">
        <f>0</f>
        <v>0</v>
      </c>
      <c r="U49" s="52">
        <f>0</f>
        <v>0</v>
      </c>
      <c r="V49" s="52">
        <f>0</f>
        <v>0</v>
      </c>
      <c r="W49" s="52">
        <f>0</f>
        <v>0</v>
      </c>
      <c r="X49" s="52">
        <f>0</f>
        <v>0</v>
      </c>
      <c r="Y49" s="52">
        <f>0</f>
        <v>0</v>
      </c>
      <c r="Z49" s="52">
        <f>0</f>
        <v>0</v>
      </c>
      <c r="AA49" s="52">
        <f>0</f>
        <v>0</v>
      </c>
      <c r="AB49" s="52">
        <f>0</f>
        <v>0</v>
      </c>
      <c r="AC49" s="52">
        <f>0</f>
        <v>0</v>
      </c>
      <c r="AD49" s="52">
        <f>0</f>
        <v>0</v>
      </c>
      <c r="AE49" s="52">
        <f>0</f>
        <v>0</v>
      </c>
      <c r="AF49" s="52">
        <f>0</f>
        <v>0</v>
      </c>
      <c r="AG49" s="52">
        <f>0</f>
        <v>0</v>
      </c>
      <c r="AH49" s="52">
        <f>0</f>
        <v>0</v>
      </c>
      <c r="AI49" s="52">
        <f>0</f>
        <v>0</v>
      </c>
      <c r="AJ49" s="52">
        <f>0</f>
        <v>0</v>
      </c>
      <c r="AK49" s="52">
        <f>0</f>
        <v>0</v>
      </c>
      <c r="AL49" s="53">
        <f>0</f>
        <v>0</v>
      </c>
      <c r="AM49" s="42"/>
    </row>
    <row r="50" spans="2:39" ht="15" customHeight="1" outlineLevel="1">
      <c r="B50" s="46">
        <v>8</v>
      </c>
      <c r="C50" s="299"/>
      <c r="D50" s="283" t="s">
        <v>174</v>
      </c>
      <c r="E50" s="94" t="s">
        <v>31</v>
      </c>
      <c r="F50" s="68" t="s">
        <v>31</v>
      </c>
      <c r="G50" s="68" t="s">
        <v>31</v>
      </c>
      <c r="H50" s="69" t="s">
        <v>31</v>
      </c>
      <c r="I50" s="70" t="s">
        <v>31</v>
      </c>
      <c r="J50" s="71" t="s">
        <v>31</v>
      </c>
      <c r="K50" s="71" t="s">
        <v>31</v>
      </c>
      <c r="L50" s="71" t="s">
        <v>31</v>
      </c>
      <c r="M50" s="71" t="s">
        <v>31</v>
      </c>
      <c r="N50" s="71" t="s">
        <v>31</v>
      </c>
      <c r="O50" s="71" t="s">
        <v>31</v>
      </c>
      <c r="P50" s="71" t="s">
        <v>31</v>
      </c>
      <c r="Q50" s="71" t="s">
        <v>31</v>
      </c>
      <c r="R50" s="71" t="s">
        <v>31</v>
      </c>
      <c r="S50" s="71" t="s">
        <v>31</v>
      </c>
      <c r="T50" s="71" t="s">
        <v>31</v>
      </c>
      <c r="U50" s="71" t="s">
        <v>31</v>
      </c>
      <c r="V50" s="71" t="s">
        <v>31</v>
      </c>
      <c r="W50" s="71" t="s">
        <v>31</v>
      </c>
      <c r="X50" s="71" t="s">
        <v>31</v>
      </c>
      <c r="Y50" s="71" t="s">
        <v>31</v>
      </c>
      <c r="Z50" s="71" t="s">
        <v>31</v>
      </c>
      <c r="AA50" s="71" t="s">
        <v>31</v>
      </c>
      <c r="AB50" s="71" t="s">
        <v>31</v>
      </c>
      <c r="AC50" s="71" t="s">
        <v>31</v>
      </c>
      <c r="AD50" s="71" t="s">
        <v>31</v>
      </c>
      <c r="AE50" s="71" t="s">
        <v>31</v>
      </c>
      <c r="AF50" s="71" t="s">
        <v>31</v>
      </c>
      <c r="AG50" s="71" t="s">
        <v>31</v>
      </c>
      <c r="AH50" s="71" t="s">
        <v>31</v>
      </c>
      <c r="AI50" s="71" t="s">
        <v>31</v>
      </c>
      <c r="AJ50" s="71" t="s">
        <v>31</v>
      </c>
      <c r="AK50" s="71" t="s">
        <v>31</v>
      </c>
      <c r="AL50" s="72" t="s">
        <v>31</v>
      </c>
      <c r="AM50" s="42"/>
    </row>
    <row r="51" spans="2:38" ht="15" customHeight="1" outlineLevel="2">
      <c r="B51" s="47" t="s">
        <v>175</v>
      </c>
      <c r="C51" s="284"/>
      <c r="D51" s="285" t="s">
        <v>269</v>
      </c>
      <c r="E51" s="91">
        <f>3438585</f>
        <v>3438585</v>
      </c>
      <c r="F51" s="54">
        <f>-35306</f>
        <v>-35306</v>
      </c>
      <c r="G51" s="54">
        <f>245000</f>
        <v>245000</v>
      </c>
      <c r="H51" s="55">
        <f>6616713</f>
        <v>6616713</v>
      </c>
      <c r="I51" s="56">
        <f>-1740512</f>
        <v>-1740512</v>
      </c>
      <c r="J51" s="57">
        <f>102403</f>
        <v>102403</v>
      </c>
      <c r="K51" s="57">
        <f>2104136</f>
        <v>2104136</v>
      </c>
      <c r="L51" s="57">
        <f aca="true" t="shared" si="4" ref="L51:P52">2001733</f>
        <v>2001733</v>
      </c>
      <c r="M51" s="57">
        <f t="shared" si="4"/>
        <v>2001733</v>
      </c>
      <c r="N51" s="57">
        <f t="shared" si="4"/>
        <v>2001733</v>
      </c>
      <c r="O51" s="57">
        <f t="shared" si="4"/>
        <v>2001733</v>
      </c>
      <c r="P51" s="57">
        <f t="shared" si="4"/>
        <v>2001733</v>
      </c>
      <c r="Q51" s="57">
        <f>2001731</f>
        <v>2001731</v>
      </c>
      <c r="R51" s="57">
        <f>1654468</f>
        <v>1654468</v>
      </c>
      <c r="S51" s="57">
        <f>1654468</f>
        <v>1654468</v>
      </c>
      <c r="T51" s="57">
        <f>1654460</f>
        <v>1654460</v>
      </c>
      <c r="U51" s="57">
        <f>0</f>
        <v>0</v>
      </c>
      <c r="V51" s="57">
        <f>0</f>
        <v>0</v>
      </c>
      <c r="W51" s="57">
        <f>0</f>
        <v>0</v>
      </c>
      <c r="X51" s="57">
        <f>0</f>
        <v>0</v>
      </c>
      <c r="Y51" s="57">
        <f>0</f>
        <v>0</v>
      </c>
      <c r="Z51" s="57">
        <f>0</f>
        <v>0</v>
      </c>
      <c r="AA51" s="57">
        <f>0</f>
        <v>0</v>
      </c>
      <c r="AB51" s="57">
        <f>0</f>
        <v>0</v>
      </c>
      <c r="AC51" s="57">
        <f>0</f>
        <v>0</v>
      </c>
      <c r="AD51" s="57">
        <f>0</f>
        <v>0</v>
      </c>
      <c r="AE51" s="57">
        <f>0</f>
        <v>0</v>
      </c>
      <c r="AF51" s="57">
        <f>0</f>
        <v>0</v>
      </c>
      <c r="AG51" s="57">
        <f>0</f>
        <v>0</v>
      </c>
      <c r="AH51" s="57">
        <f>0</f>
        <v>0</v>
      </c>
      <c r="AI51" s="57">
        <f>0</f>
        <v>0</v>
      </c>
      <c r="AJ51" s="57">
        <f>0</f>
        <v>0</v>
      </c>
      <c r="AK51" s="57">
        <f>0</f>
        <v>0</v>
      </c>
      <c r="AL51" s="58">
        <f>0</f>
        <v>0</v>
      </c>
    </row>
    <row r="52" spans="2:38" ht="39" customHeight="1" outlineLevel="2">
      <c r="B52" s="47" t="s">
        <v>176</v>
      </c>
      <c r="C52" s="284"/>
      <c r="D52" s="285" t="s">
        <v>428</v>
      </c>
      <c r="E52" s="91">
        <f>8535652</f>
        <v>8535652</v>
      </c>
      <c r="F52" s="54">
        <f>8123514</f>
        <v>8123514</v>
      </c>
      <c r="G52" s="54">
        <f>8185713</f>
        <v>8185713</v>
      </c>
      <c r="H52" s="55">
        <f>14741256</f>
        <v>14741256</v>
      </c>
      <c r="I52" s="56">
        <f>205040</f>
        <v>205040</v>
      </c>
      <c r="J52" s="57">
        <f>102403</f>
        <v>102403</v>
      </c>
      <c r="K52" s="57">
        <f>2104136</f>
        <v>2104136</v>
      </c>
      <c r="L52" s="57">
        <f t="shared" si="4"/>
        <v>2001733</v>
      </c>
      <c r="M52" s="57">
        <f t="shared" si="4"/>
        <v>2001733</v>
      </c>
      <c r="N52" s="57">
        <f t="shared" si="4"/>
        <v>2001733</v>
      </c>
      <c r="O52" s="57">
        <f t="shared" si="4"/>
        <v>2001733</v>
      </c>
      <c r="P52" s="57">
        <f t="shared" si="4"/>
        <v>2001733</v>
      </c>
      <c r="Q52" s="57">
        <f>2001731</f>
        <v>2001731</v>
      </c>
      <c r="R52" s="57">
        <f>1654468</f>
        <v>1654468</v>
      </c>
      <c r="S52" s="57">
        <f>1654468</f>
        <v>1654468</v>
      </c>
      <c r="T52" s="57">
        <f>1654460</f>
        <v>1654460</v>
      </c>
      <c r="U52" s="57">
        <f>0</f>
        <v>0</v>
      </c>
      <c r="V52" s="57">
        <f>0</f>
        <v>0</v>
      </c>
      <c r="W52" s="57">
        <f>0</f>
        <v>0</v>
      </c>
      <c r="X52" s="57">
        <f>0</f>
        <v>0</v>
      </c>
      <c r="Y52" s="57">
        <f>0</f>
        <v>0</v>
      </c>
      <c r="Z52" s="57">
        <f>0</f>
        <v>0</v>
      </c>
      <c r="AA52" s="57">
        <f>0</f>
        <v>0</v>
      </c>
      <c r="AB52" s="57">
        <f>0</f>
        <v>0</v>
      </c>
      <c r="AC52" s="57">
        <f>0</f>
        <v>0</v>
      </c>
      <c r="AD52" s="57">
        <f>0</f>
        <v>0</v>
      </c>
      <c r="AE52" s="57">
        <f>0</f>
        <v>0</v>
      </c>
      <c r="AF52" s="57">
        <f>0</f>
        <v>0</v>
      </c>
      <c r="AG52" s="57">
        <f>0</f>
        <v>0</v>
      </c>
      <c r="AH52" s="57">
        <f>0</f>
        <v>0</v>
      </c>
      <c r="AI52" s="57">
        <f>0</f>
        <v>0</v>
      </c>
      <c r="AJ52" s="57">
        <f>0</f>
        <v>0</v>
      </c>
      <c r="AK52" s="57">
        <f>0</f>
        <v>0</v>
      </c>
      <c r="AL52" s="58">
        <f>0</f>
        <v>0</v>
      </c>
    </row>
    <row r="53" spans="1:39" ht="15" customHeight="1" outlineLevel="1">
      <c r="A53" s="298" t="s">
        <v>31</v>
      </c>
      <c r="B53" s="46">
        <v>9</v>
      </c>
      <c r="C53" s="299"/>
      <c r="D53" s="283" t="s">
        <v>177</v>
      </c>
      <c r="E53" s="94" t="s">
        <v>31</v>
      </c>
      <c r="F53" s="68" t="s">
        <v>31</v>
      </c>
      <c r="G53" s="68" t="s">
        <v>31</v>
      </c>
      <c r="H53" s="69" t="s">
        <v>31</v>
      </c>
      <c r="I53" s="70" t="s">
        <v>31</v>
      </c>
      <c r="J53" s="71" t="s">
        <v>31</v>
      </c>
      <c r="K53" s="71" t="s">
        <v>31</v>
      </c>
      <c r="L53" s="71" t="s">
        <v>31</v>
      </c>
      <c r="M53" s="71" t="s">
        <v>31</v>
      </c>
      <c r="N53" s="71" t="s">
        <v>31</v>
      </c>
      <c r="O53" s="71" t="s">
        <v>31</v>
      </c>
      <c r="P53" s="71" t="s">
        <v>31</v>
      </c>
      <c r="Q53" s="71" t="s">
        <v>31</v>
      </c>
      <c r="R53" s="71" t="s">
        <v>31</v>
      </c>
      <c r="S53" s="71" t="s">
        <v>31</v>
      </c>
      <c r="T53" s="71" t="s">
        <v>31</v>
      </c>
      <c r="U53" s="71" t="s">
        <v>31</v>
      </c>
      <c r="V53" s="71" t="s">
        <v>31</v>
      </c>
      <c r="W53" s="71" t="s">
        <v>31</v>
      </c>
      <c r="X53" s="71" t="s">
        <v>31</v>
      </c>
      <c r="Y53" s="71" t="s">
        <v>31</v>
      </c>
      <c r="Z53" s="71" t="s">
        <v>31</v>
      </c>
      <c r="AA53" s="71" t="s">
        <v>31</v>
      </c>
      <c r="AB53" s="71" t="s">
        <v>31</v>
      </c>
      <c r="AC53" s="71" t="s">
        <v>31</v>
      </c>
      <c r="AD53" s="71" t="s">
        <v>31</v>
      </c>
      <c r="AE53" s="71" t="s">
        <v>31</v>
      </c>
      <c r="AF53" s="71" t="s">
        <v>31</v>
      </c>
      <c r="AG53" s="71" t="s">
        <v>31</v>
      </c>
      <c r="AH53" s="71" t="s">
        <v>31</v>
      </c>
      <c r="AI53" s="71" t="s">
        <v>31</v>
      </c>
      <c r="AJ53" s="71" t="s">
        <v>31</v>
      </c>
      <c r="AK53" s="71" t="s">
        <v>31</v>
      </c>
      <c r="AL53" s="72" t="s">
        <v>31</v>
      </c>
      <c r="AM53" s="42"/>
    </row>
    <row r="54" spans="2:38" ht="25.5" customHeight="1" outlineLevel="2">
      <c r="B54" s="47" t="s">
        <v>178</v>
      </c>
      <c r="C54" s="284"/>
      <c r="D54" s="285" t="s">
        <v>429</v>
      </c>
      <c r="E54" s="93">
        <f>0.0609</f>
        <v>0.0609</v>
      </c>
      <c r="F54" s="63">
        <f>0.0623</f>
        <v>0.0623</v>
      </c>
      <c r="G54" s="63">
        <f>0.0622</f>
        <v>0.0622</v>
      </c>
      <c r="H54" s="64">
        <f>0.061</f>
        <v>0.061</v>
      </c>
      <c r="I54" s="65">
        <f>0.0579</f>
        <v>0.0579</v>
      </c>
      <c r="J54" s="66">
        <f>0.0601</f>
        <v>0.0601</v>
      </c>
      <c r="K54" s="66">
        <f>0.0418</f>
        <v>0.0418</v>
      </c>
      <c r="L54" s="66">
        <f>0.0427</f>
        <v>0.0427</v>
      </c>
      <c r="M54" s="66">
        <f>0.0436</f>
        <v>0.0436</v>
      </c>
      <c r="N54" s="66">
        <f>0.0414</f>
        <v>0.0414</v>
      </c>
      <c r="O54" s="66">
        <f>0.0395</f>
        <v>0.0395</v>
      </c>
      <c r="P54" s="66">
        <f>0.0373</f>
        <v>0.0373</v>
      </c>
      <c r="Q54" s="66">
        <f>0.0353</f>
        <v>0.0353</v>
      </c>
      <c r="R54" s="66">
        <f>0.0293</f>
        <v>0.0293</v>
      </c>
      <c r="S54" s="66">
        <f>0.0276</f>
        <v>0.0276</v>
      </c>
      <c r="T54" s="66">
        <f>0.0261</f>
        <v>0.0261</v>
      </c>
      <c r="U54" s="66">
        <f>0.0062</f>
        <v>0.0062</v>
      </c>
      <c r="V54" s="66">
        <f>0.0058</f>
        <v>0.0058</v>
      </c>
      <c r="W54" s="66">
        <f>0</f>
        <v>0</v>
      </c>
      <c r="X54" s="66">
        <f>0</f>
        <v>0</v>
      </c>
      <c r="Y54" s="66">
        <f>0</f>
        <v>0</v>
      </c>
      <c r="Z54" s="66">
        <f>0</f>
        <v>0</v>
      </c>
      <c r="AA54" s="66">
        <f>0</f>
        <v>0</v>
      </c>
      <c r="AB54" s="66">
        <f>0</f>
        <v>0</v>
      </c>
      <c r="AC54" s="66">
        <f>0</f>
        <v>0</v>
      </c>
      <c r="AD54" s="66">
        <f>0</f>
        <v>0</v>
      </c>
      <c r="AE54" s="66">
        <f>0</f>
        <v>0</v>
      </c>
      <c r="AF54" s="66">
        <f>0</f>
        <v>0</v>
      </c>
      <c r="AG54" s="66">
        <f>0</f>
        <v>0</v>
      </c>
      <c r="AH54" s="66">
        <f>0</f>
        <v>0</v>
      </c>
      <c r="AI54" s="66">
        <f>0</f>
        <v>0</v>
      </c>
      <c r="AJ54" s="66">
        <f>0</f>
        <v>0</v>
      </c>
      <c r="AK54" s="66">
        <f>0</f>
        <v>0</v>
      </c>
      <c r="AL54" s="67">
        <f>0</f>
        <v>0</v>
      </c>
    </row>
    <row r="55" spans="2:38" ht="25.5" customHeight="1" outlineLevel="2">
      <c r="B55" s="47" t="s">
        <v>179</v>
      </c>
      <c r="C55" s="284"/>
      <c r="D55" s="285" t="s">
        <v>232</v>
      </c>
      <c r="E55" s="93">
        <f>0.0609</f>
        <v>0.0609</v>
      </c>
      <c r="F55" s="63">
        <f>0.0623</f>
        <v>0.0623</v>
      </c>
      <c r="G55" s="63">
        <f>0.0622</f>
        <v>0.0622</v>
      </c>
      <c r="H55" s="64">
        <f>0.061</f>
        <v>0.061</v>
      </c>
      <c r="I55" s="65">
        <f>0.0579</f>
        <v>0.0579</v>
      </c>
      <c r="J55" s="66">
        <f>0.0601</f>
        <v>0.0601</v>
      </c>
      <c r="K55" s="66">
        <f>0.0418</f>
        <v>0.0418</v>
      </c>
      <c r="L55" s="66">
        <f>0.0427</f>
        <v>0.0427</v>
      </c>
      <c r="M55" s="66">
        <f>0.0436</f>
        <v>0.0436</v>
      </c>
      <c r="N55" s="66">
        <f>0.0414</f>
        <v>0.0414</v>
      </c>
      <c r="O55" s="66">
        <f>0.0395</f>
        <v>0.0395</v>
      </c>
      <c r="P55" s="66">
        <f>0.0373</f>
        <v>0.0373</v>
      </c>
      <c r="Q55" s="66">
        <f>0.0353</f>
        <v>0.0353</v>
      </c>
      <c r="R55" s="66">
        <f>0.0293</f>
        <v>0.0293</v>
      </c>
      <c r="S55" s="66">
        <f>0.0276</f>
        <v>0.0276</v>
      </c>
      <c r="T55" s="66">
        <f>0.0261</f>
        <v>0.0261</v>
      </c>
      <c r="U55" s="66">
        <f>0.0062</f>
        <v>0.0062</v>
      </c>
      <c r="V55" s="66">
        <f>0.0058</f>
        <v>0.0058</v>
      </c>
      <c r="W55" s="66">
        <f>0</f>
        <v>0</v>
      </c>
      <c r="X55" s="66">
        <f>0</f>
        <v>0</v>
      </c>
      <c r="Y55" s="66">
        <f>0</f>
        <v>0</v>
      </c>
      <c r="Z55" s="66">
        <f>0</f>
        <v>0</v>
      </c>
      <c r="AA55" s="66">
        <f>0</f>
        <v>0</v>
      </c>
      <c r="AB55" s="66">
        <f>0</f>
        <v>0</v>
      </c>
      <c r="AC55" s="66">
        <f>0</f>
        <v>0</v>
      </c>
      <c r="AD55" s="66">
        <f>0</f>
        <v>0</v>
      </c>
      <c r="AE55" s="66">
        <f>0</f>
        <v>0</v>
      </c>
      <c r="AF55" s="66">
        <f>0</f>
        <v>0</v>
      </c>
      <c r="AG55" s="66">
        <f>0</f>
        <v>0</v>
      </c>
      <c r="AH55" s="66">
        <f>0</f>
        <v>0</v>
      </c>
      <c r="AI55" s="66">
        <f>0</f>
        <v>0</v>
      </c>
      <c r="AJ55" s="66">
        <f>0</f>
        <v>0</v>
      </c>
      <c r="AK55" s="66">
        <f>0</f>
        <v>0</v>
      </c>
      <c r="AL55" s="67">
        <f>0</f>
        <v>0</v>
      </c>
    </row>
    <row r="56" spans="1:38" ht="38.25" customHeight="1" outlineLevel="2">
      <c r="A56" s="298" t="s">
        <v>31</v>
      </c>
      <c r="B56" s="47" t="s">
        <v>180</v>
      </c>
      <c r="C56" s="284"/>
      <c r="D56" s="285" t="s">
        <v>234</v>
      </c>
      <c r="E56" s="93">
        <f>0.0609</f>
        <v>0.0609</v>
      </c>
      <c r="F56" s="63">
        <f>0.0623</f>
        <v>0.0623</v>
      </c>
      <c r="G56" s="63">
        <f>0.0622</f>
        <v>0.0622</v>
      </c>
      <c r="H56" s="64">
        <f>0.061</f>
        <v>0.061</v>
      </c>
      <c r="I56" s="65">
        <f>0.0579</f>
        <v>0.0579</v>
      </c>
      <c r="J56" s="66">
        <f>0.0601</f>
        <v>0.0601</v>
      </c>
      <c r="K56" s="66">
        <f>0.0418</f>
        <v>0.0418</v>
      </c>
      <c r="L56" s="66">
        <f>0.0427</f>
        <v>0.0427</v>
      </c>
      <c r="M56" s="66">
        <f>0.0436</f>
        <v>0.0436</v>
      </c>
      <c r="N56" s="66">
        <f>0.0414</f>
        <v>0.0414</v>
      </c>
      <c r="O56" s="66">
        <f>0.0395</f>
        <v>0.0395</v>
      </c>
      <c r="P56" s="66">
        <f>0.0373</f>
        <v>0.0373</v>
      </c>
      <c r="Q56" s="66">
        <f>0.0353</f>
        <v>0.0353</v>
      </c>
      <c r="R56" s="66">
        <f>0.0293</f>
        <v>0.0293</v>
      </c>
      <c r="S56" s="66">
        <f>0.0276</f>
        <v>0.0276</v>
      </c>
      <c r="T56" s="66">
        <f>0.0261</f>
        <v>0.0261</v>
      </c>
      <c r="U56" s="66">
        <f>0.0062</f>
        <v>0.0062</v>
      </c>
      <c r="V56" s="66">
        <f>0.0058</f>
        <v>0.0058</v>
      </c>
      <c r="W56" s="66">
        <f>0</f>
        <v>0</v>
      </c>
      <c r="X56" s="66">
        <f>0</f>
        <v>0</v>
      </c>
      <c r="Y56" s="66">
        <f>0</f>
        <v>0</v>
      </c>
      <c r="Z56" s="66">
        <f>0</f>
        <v>0</v>
      </c>
      <c r="AA56" s="66">
        <f>0</f>
        <v>0</v>
      </c>
      <c r="AB56" s="66">
        <f>0</f>
        <v>0</v>
      </c>
      <c r="AC56" s="66">
        <f>0</f>
        <v>0</v>
      </c>
      <c r="AD56" s="66">
        <f>0</f>
        <v>0</v>
      </c>
      <c r="AE56" s="66">
        <f>0</f>
        <v>0</v>
      </c>
      <c r="AF56" s="66">
        <f>0</f>
        <v>0</v>
      </c>
      <c r="AG56" s="66">
        <f>0</f>
        <v>0</v>
      </c>
      <c r="AH56" s="66">
        <f>0</f>
        <v>0</v>
      </c>
      <c r="AI56" s="66">
        <f>0</f>
        <v>0</v>
      </c>
      <c r="AJ56" s="66">
        <f>0</f>
        <v>0</v>
      </c>
      <c r="AK56" s="66">
        <f>0</f>
        <v>0</v>
      </c>
      <c r="AL56" s="67">
        <f>0</f>
        <v>0</v>
      </c>
    </row>
    <row r="57" spans="1:38" ht="38.25" customHeight="1" outlineLevel="2">
      <c r="A57" s="298" t="s">
        <v>31</v>
      </c>
      <c r="B57" s="47" t="s">
        <v>181</v>
      </c>
      <c r="C57" s="284"/>
      <c r="D57" s="285" t="s">
        <v>233</v>
      </c>
      <c r="E57" s="93">
        <f>0.0609</f>
        <v>0.0609</v>
      </c>
      <c r="F57" s="63">
        <f>0.0623</f>
        <v>0.0623</v>
      </c>
      <c r="G57" s="63">
        <f>0.0622</f>
        <v>0.0622</v>
      </c>
      <c r="H57" s="64">
        <f>0.061</f>
        <v>0.061</v>
      </c>
      <c r="I57" s="65">
        <f>0.0579</f>
        <v>0.0579</v>
      </c>
      <c r="J57" s="66">
        <f>0.0601</f>
        <v>0.0601</v>
      </c>
      <c r="K57" s="66">
        <f>0.0418</f>
        <v>0.0418</v>
      </c>
      <c r="L57" s="66">
        <f>0.0427</f>
        <v>0.0427</v>
      </c>
      <c r="M57" s="66">
        <f>0.0436</f>
        <v>0.0436</v>
      </c>
      <c r="N57" s="66">
        <f>0.0414</f>
        <v>0.0414</v>
      </c>
      <c r="O57" s="66">
        <f>0.0395</f>
        <v>0.0395</v>
      </c>
      <c r="P57" s="66">
        <f>0.0373</f>
        <v>0.0373</v>
      </c>
      <c r="Q57" s="66">
        <f>0.0353</f>
        <v>0.0353</v>
      </c>
      <c r="R57" s="66">
        <f>0.0293</f>
        <v>0.0293</v>
      </c>
      <c r="S57" s="66">
        <f>0.0276</f>
        <v>0.0276</v>
      </c>
      <c r="T57" s="66">
        <f>0.0261</f>
        <v>0.0261</v>
      </c>
      <c r="U57" s="66">
        <f>0.0062</f>
        <v>0.0062</v>
      </c>
      <c r="V57" s="66">
        <f>0.0058</f>
        <v>0.0058</v>
      </c>
      <c r="W57" s="66">
        <f>0</f>
        <v>0</v>
      </c>
      <c r="X57" s="66">
        <f>0</f>
        <v>0</v>
      </c>
      <c r="Y57" s="66">
        <f>0</f>
        <v>0</v>
      </c>
      <c r="Z57" s="66">
        <f>0</f>
        <v>0</v>
      </c>
      <c r="AA57" s="66">
        <f>0</f>
        <v>0</v>
      </c>
      <c r="AB57" s="66">
        <f>0</f>
        <v>0</v>
      </c>
      <c r="AC57" s="66">
        <f>0</f>
        <v>0</v>
      </c>
      <c r="AD57" s="66">
        <f>0</f>
        <v>0</v>
      </c>
      <c r="AE57" s="66">
        <f>0</f>
        <v>0</v>
      </c>
      <c r="AF57" s="66">
        <f>0</f>
        <v>0</v>
      </c>
      <c r="AG57" s="66">
        <f>0</f>
        <v>0</v>
      </c>
      <c r="AH57" s="66">
        <f>0</f>
        <v>0</v>
      </c>
      <c r="AI57" s="66">
        <f>0</f>
        <v>0</v>
      </c>
      <c r="AJ57" s="66">
        <f>0</f>
        <v>0</v>
      </c>
      <c r="AK57" s="66">
        <f>0</f>
        <v>0</v>
      </c>
      <c r="AL57" s="67">
        <f>0</f>
        <v>0</v>
      </c>
    </row>
    <row r="58" spans="1:38" ht="25.5" customHeight="1" outlineLevel="2">
      <c r="A58" s="298" t="s">
        <v>31</v>
      </c>
      <c r="B58" s="47" t="s">
        <v>182</v>
      </c>
      <c r="C58" s="284"/>
      <c r="D58" s="285" t="s">
        <v>235</v>
      </c>
      <c r="E58" s="91">
        <f>0</f>
        <v>0</v>
      </c>
      <c r="F58" s="54">
        <f>0</f>
        <v>0</v>
      </c>
      <c r="G58" s="54">
        <f>0</f>
        <v>0</v>
      </c>
      <c r="H58" s="55">
        <f>0</f>
        <v>0</v>
      </c>
      <c r="I58" s="56">
        <f>0</f>
        <v>0</v>
      </c>
      <c r="J58" s="57">
        <f>0</f>
        <v>0</v>
      </c>
      <c r="K58" s="57">
        <f>0</f>
        <v>0</v>
      </c>
      <c r="L58" s="57">
        <f>0</f>
        <v>0</v>
      </c>
      <c r="M58" s="57">
        <f>0</f>
        <v>0</v>
      </c>
      <c r="N58" s="57">
        <f>0</f>
        <v>0</v>
      </c>
      <c r="O58" s="57">
        <f>0</f>
        <v>0</v>
      </c>
      <c r="P58" s="57">
        <f>0</f>
        <v>0</v>
      </c>
      <c r="Q58" s="57">
        <f>0</f>
        <v>0</v>
      </c>
      <c r="R58" s="57">
        <f>0</f>
        <v>0</v>
      </c>
      <c r="S58" s="57">
        <f>0</f>
        <v>0</v>
      </c>
      <c r="T58" s="57">
        <f>0</f>
        <v>0</v>
      </c>
      <c r="U58" s="57">
        <f>0</f>
        <v>0</v>
      </c>
      <c r="V58" s="57">
        <f>0</f>
        <v>0</v>
      </c>
      <c r="W58" s="57">
        <f>0</f>
        <v>0</v>
      </c>
      <c r="X58" s="57">
        <f>0</f>
        <v>0</v>
      </c>
      <c r="Y58" s="57">
        <f>0</f>
        <v>0</v>
      </c>
      <c r="Z58" s="57">
        <f>0</f>
        <v>0</v>
      </c>
      <c r="AA58" s="57">
        <f>0</f>
        <v>0</v>
      </c>
      <c r="AB58" s="57">
        <f>0</f>
        <v>0</v>
      </c>
      <c r="AC58" s="57">
        <f>0</f>
        <v>0</v>
      </c>
      <c r="AD58" s="57">
        <f>0</f>
        <v>0</v>
      </c>
      <c r="AE58" s="57">
        <f>0</f>
        <v>0</v>
      </c>
      <c r="AF58" s="57">
        <f>0</f>
        <v>0</v>
      </c>
      <c r="AG58" s="57">
        <f>0</f>
        <v>0</v>
      </c>
      <c r="AH58" s="57">
        <f>0</f>
        <v>0</v>
      </c>
      <c r="AI58" s="57">
        <f>0</f>
        <v>0</v>
      </c>
      <c r="AJ58" s="57">
        <f>0</f>
        <v>0</v>
      </c>
      <c r="AK58" s="57">
        <f>0</f>
        <v>0</v>
      </c>
      <c r="AL58" s="58">
        <f>0</f>
        <v>0</v>
      </c>
    </row>
    <row r="59" spans="1:38" ht="38.25" customHeight="1" outlineLevel="2" collapsed="1">
      <c r="A59" s="298" t="s">
        <v>31</v>
      </c>
      <c r="B59" s="47" t="s">
        <v>183</v>
      </c>
      <c r="C59" s="284"/>
      <c r="D59" s="285" t="s">
        <v>236</v>
      </c>
      <c r="E59" s="93">
        <f>0.0609</f>
        <v>0.0609</v>
      </c>
      <c r="F59" s="63">
        <f>0.0623</f>
        <v>0.0623</v>
      </c>
      <c r="G59" s="63">
        <f>0.0622</f>
        <v>0.0622</v>
      </c>
      <c r="H59" s="64">
        <f>0.061</f>
        <v>0.061</v>
      </c>
      <c r="I59" s="65">
        <f>0.0579</f>
        <v>0.0579</v>
      </c>
      <c r="J59" s="66">
        <f>0.0601</f>
        <v>0.0601</v>
      </c>
      <c r="K59" s="66">
        <f>0.0418</f>
        <v>0.0418</v>
      </c>
      <c r="L59" s="66">
        <f>0.0427</f>
        <v>0.0427</v>
      </c>
      <c r="M59" s="66">
        <f>0.0436</f>
        <v>0.0436</v>
      </c>
      <c r="N59" s="66">
        <f>0.0414</f>
        <v>0.0414</v>
      </c>
      <c r="O59" s="66">
        <f>0.0395</f>
        <v>0.0395</v>
      </c>
      <c r="P59" s="66">
        <f>0.0373</f>
        <v>0.0373</v>
      </c>
      <c r="Q59" s="66">
        <f>0.0353</f>
        <v>0.0353</v>
      </c>
      <c r="R59" s="66">
        <f>0.0293</f>
        <v>0.0293</v>
      </c>
      <c r="S59" s="66">
        <f>0.0276</f>
        <v>0.0276</v>
      </c>
      <c r="T59" s="66">
        <f>0.0261</f>
        <v>0.0261</v>
      </c>
      <c r="U59" s="66">
        <f>0.0062</f>
        <v>0.0062</v>
      </c>
      <c r="V59" s="66">
        <f>0.0058</f>
        <v>0.0058</v>
      </c>
      <c r="W59" s="66">
        <f>0</f>
        <v>0</v>
      </c>
      <c r="X59" s="66">
        <f>0</f>
        <v>0</v>
      </c>
      <c r="Y59" s="66">
        <f>0</f>
        <v>0</v>
      </c>
      <c r="Z59" s="66">
        <f>0</f>
        <v>0</v>
      </c>
      <c r="AA59" s="66">
        <f>0</f>
        <v>0</v>
      </c>
      <c r="AB59" s="66">
        <f>0</f>
        <v>0</v>
      </c>
      <c r="AC59" s="66">
        <f>0</f>
        <v>0</v>
      </c>
      <c r="AD59" s="66">
        <f>0</f>
        <v>0</v>
      </c>
      <c r="AE59" s="66">
        <f>0</f>
        <v>0</v>
      </c>
      <c r="AF59" s="66">
        <f>0</f>
        <v>0</v>
      </c>
      <c r="AG59" s="66">
        <f>0</f>
        <v>0</v>
      </c>
      <c r="AH59" s="66">
        <f>0</f>
        <v>0</v>
      </c>
      <c r="AI59" s="66">
        <f>0</f>
        <v>0</v>
      </c>
      <c r="AJ59" s="66">
        <f>0</f>
        <v>0</v>
      </c>
      <c r="AK59" s="66">
        <f>0</f>
        <v>0</v>
      </c>
      <c r="AL59" s="67">
        <f>0</f>
        <v>0</v>
      </c>
    </row>
    <row r="60" spans="1:38" ht="15" customHeight="1" hidden="1" outlineLevel="3">
      <c r="A60" s="298" t="s">
        <v>31</v>
      </c>
      <c r="B60" s="127" t="s">
        <v>100</v>
      </c>
      <c r="C60" s="128"/>
      <c r="D60" s="294" t="s">
        <v>420</v>
      </c>
      <c r="E60" s="93">
        <f>+IF(E10&lt;&gt;0,(E11+E19-E22)/E10,0)</f>
        <v>0.047972366331978086</v>
      </c>
      <c r="F60" s="63">
        <f>+IF(F10&lt;&gt;0,(F11+F19-F22)/F10,0)</f>
        <v>0.027084664902977354</v>
      </c>
      <c r="G60" s="63">
        <f>+IF(G10&lt;&gt;0,(G11+G19-G22)/G10,0)</f>
        <v>0.1251136596479791</v>
      </c>
      <c r="H60" s="64">
        <f>+IF(H10&lt;&gt;0,(H11+H19-H22)/H10,0)</f>
        <v>0.1850475944651959</v>
      </c>
      <c r="I60" s="65">
        <f>+IF(I10&lt;&gt;0,(I11+I19-I22)/I10,0)</f>
        <v>0.14920207177856462</v>
      </c>
      <c r="J60" s="66">
        <f aca="true" t="shared" si="5" ref="J60:AL60">+IF(J10&lt;&gt;0,(J11+J19-J22)/J10,0)</f>
        <v>0.20768787308718686</v>
      </c>
      <c r="K60" s="66">
        <f t="shared" si="5"/>
        <v>0.17040807018893972</v>
      </c>
      <c r="L60" s="66">
        <f t="shared" si="5"/>
        <v>0.10939579976022512</v>
      </c>
      <c r="M60" s="66">
        <f t="shared" si="5"/>
        <v>0.04467962925112616</v>
      </c>
      <c r="N60" s="66">
        <f t="shared" si="5"/>
        <v>0.044197423210973426</v>
      </c>
      <c r="O60" s="66">
        <f t="shared" si="5"/>
        <v>0.03793731714801753</v>
      </c>
      <c r="P60" s="66">
        <f t="shared" si="5"/>
        <v>0.037514326681816916</v>
      </c>
      <c r="Q60" s="66">
        <f t="shared" si="5"/>
        <v>0.03710004868710273</v>
      </c>
      <c r="R60" s="66">
        <f t="shared" si="5"/>
        <v>0.03279758059827592</v>
      </c>
      <c r="S60" s="66">
        <f t="shared" si="5"/>
        <v>0.03243239468533196</v>
      </c>
      <c r="T60" s="66">
        <f t="shared" si="5"/>
        <v>0.03207516040001969</v>
      </c>
      <c r="U60" s="66">
        <f t="shared" si="5"/>
        <v>0.013083690503045342</v>
      </c>
      <c r="V60" s="66">
        <f t="shared" si="5"/>
        <v>0.012937764889582868</v>
      </c>
      <c r="W60" s="66">
        <f t="shared" si="5"/>
        <v>0</v>
      </c>
      <c r="X60" s="66">
        <f t="shared" si="5"/>
        <v>0</v>
      </c>
      <c r="Y60" s="66">
        <f t="shared" si="5"/>
        <v>0</v>
      </c>
      <c r="Z60" s="66">
        <f t="shared" si="5"/>
        <v>0</v>
      </c>
      <c r="AA60" s="66">
        <f t="shared" si="5"/>
        <v>0</v>
      </c>
      <c r="AB60" s="66">
        <f t="shared" si="5"/>
        <v>0</v>
      </c>
      <c r="AC60" s="66">
        <f t="shared" si="5"/>
        <v>0</v>
      </c>
      <c r="AD60" s="66">
        <f t="shared" si="5"/>
        <v>0</v>
      </c>
      <c r="AE60" s="66">
        <f t="shared" si="5"/>
        <v>0</v>
      </c>
      <c r="AF60" s="66">
        <f t="shared" si="5"/>
        <v>0</v>
      </c>
      <c r="AG60" s="66">
        <f t="shared" si="5"/>
        <v>0</v>
      </c>
      <c r="AH60" s="66">
        <f t="shared" si="5"/>
        <v>0</v>
      </c>
      <c r="AI60" s="66">
        <f t="shared" si="5"/>
        <v>0</v>
      </c>
      <c r="AJ60" s="66">
        <f t="shared" si="5"/>
        <v>0</v>
      </c>
      <c r="AK60" s="66">
        <f t="shared" si="5"/>
        <v>0</v>
      </c>
      <c r="AL60" s="67">
        <f t="shared" si="5"/>
        <v>0</v>
      </c>
    </row>
    <row r="61" spans="1:38" ht="38.25" customHeight="1" outlineLevel="2">
      <c r="A61" s="298" t="s">
        <v>31</v>
      </c>
      <c r="B61" s="47" t="s">
        <v>184</v>
      </c>
      <c r="C61" s="284"/>
      <c r="D61" s="285" t="s">
        <v>430</v>
      </c>
      <c r="E61" s="94" t="s">
        <v>31</v>
      </c>
      <c r="F61" s="68" t="s">
        <v>31</v>
      </c>
      <c r="G61" s="68" t="s">
        <v>31</v>
      </c>
      <c r="H61" s="69" t="s">
        <v>31</v>
      </c>
      <c r="I61" s="65">
        <f>0.0667</f>
        <v>0.0667</v>
      </c>
      <c r="J61" s="66">
        <f>0.1005</f>
        <v>0.1005</v>
      </c>
      <c r="K61" s="66">
        <f>0.1607</f>
        <v>0.1607</v>
      </c>
      <c r="L61" s="66">
        <f>0.1758</f>
        <v>0.1758</v>
      </c>
      <c r="M61" s="66">
        <f>0.1625</f>
        <v>0.1625</v>
      </c>
      <c r="N61" s="66">
        <f>0.1082</f>
        <v>0.1082</v>
      </c>
      <c r="O61" s="66">
        <f>0.0661</f>
        <v>0.0661</v>
      </c>
      <c r="P61" s="66">
        <f>0.0423</f>
        <v>0.0423</v>
      </c>
      <c r="Q61" s="66">
        <f>0.0399</f>
        <v>0.0399</v>
      </c>
      <c r="R61" s="66">
        <f>0.0375</f>
        <v>0.0375</v>
      </c>
      <c r="S61" s="66">
        <f>0.0358</f>
        <v>0.0358</v>
      </c>
      <c r="T61" s="66">
        <f>0.0341</f>
        <v>0.0341</v>
      </c>
      <c r="U61" s="66">
        <f>0.0324</f>
        <v>0.0324</v>
      </c>
      <c r="V61" s="66">
        <f>0.0259</f>
        <v>0.0259</v>
      </c>
      <c r="W61" s="66">
        <f>0</f>
        <v>0</v>
      </c>
      <c r="X61" s="66">
        <f>0</f>
        <v>0</v>
      </c>
      <c r="Y61" s="66">
        <f>0</f>
        <v>0</v>
      </c>
      <c r="Z61" s="66">
        <f>0</f>
        <v>0</v>
      </c>
      <c r="AA61" s="66">
        <f>0</f>
        <v>0</v>
      </c>
      <c r="AB61" s="66">
        <f>0</f>
        <v>0</v>
      </c>
      <c r="AC61" s="66">
        <f>0</f>
        <v>0</v>
      </c>
      <c r="AD61" s="66">
        <f>0</f>
        <v>0</v>
      </c>
      <c r="AE61" s="66">
        <f>0</f>
        <v>0</v>
      </c>
      <c r="AF61" s="66">
        <f>0</f>
        <v>0</v>
      </c>
      <c r="AG61" s="66">
        <f>0</f>
        <v>0</v>
      </c>
      <c r="AH61" s="66">
        <f>0</f>
        <v>0</v>
      </c>
      <c r="AI61" s="66">
        <f>0</f>
        <v>0</v>
      </c>
      <c r="AJ61" s="66">
        <f>0</f>
        <v>0</v>
      </c>
      <c r="AK61" s="66">
        <f>0</f>
        <v>0</v>
      </c>
      <c r="AL61" s="67">
        <f>0</f>
        <v>0</v>
      </c>
    </row>
    <row r="62" spans="1:38" ht="38.25" customHeight="1" outlineLevel="2">
      <c r="A62" s="298" t="s">
        <v>31</v>
      </c>
      <c r="B62" s="47" t="s">
        <v>103</v>
      </c>
      <c r="C62" s="284"/>
      <c r="D62" s="286" t="s">
        <v>431</v>
      </c>
      <c r="E62" s="94" t="s">
        <v>31</v>
      </c>
      <c r="F62" s="68" t="s">
        <v>31</v>
      </c>
      <c r="G62" s="68" t="s">
        <v>31</v>
      </c>
      <c r="H62" s="69" t="s">
        <v>31</v>
      </c>
      <c r="I62" s="65">
        <f>0.0867</f>
        <v>0.0867</v>
      </c>
      <c r="J62" s="66">
        <f>0.1204</f>
        <v>0.1204</v>
      </c>
      <c r="K62" s="66">
        <f>0.1806</f>
        <v>0.1806</v>
      </c>
      <c r="L62" s="66">
        <f>0.1758</f>
        <v>0.1758</v>
      </c>
      <c r="M62" s="66">
        <f>0.1625</f>
        <v>0.1625</v>
      </c>
      <c r="N62" s="66">
        <f>0.1082</f>
        <v>0.1082</v>
      </c>
      <c r="O62" s="66">
        <f>0.0661</f>
        <v>0.0661</v>
      </c>
      <c r="P62" s="66">
        <f>0.0423</f>
        <v>0.0423</v>
      </c>
      <c r="Q62" s="66">
        <f>0.0399</f>
        <v>0.0399</v>
      </c>
      <c r="R62" s="66">
        <f>0.0375</f>
        <v>0.0375</v>
      </c>
      <c r="S62" s="66">
        <f>0.0358</f>
        <v>0.0358</v>
      </c>
      <c r="T62" s="66">
        <f>0.0341</f>
        <v>0.0341</v>
      </c>
      <c r="U62" s="66">
        <f>0.0324</f>
        <v>0.0324</v>
      </c>
      <c r="V62" s="66">
        <f>0.0259</f>
        <v>0.0259</v>
      </c>
      <c r="W62" s="66">
        <f>0</f>
        <v>0</v>
      </c>
      <c r="X62" s="66">
        <f>0</f>
        <v>0</v>
      </c>
      <c r="Y62" s="66">
        <f>0</f>
        <v>0</v>
      </c>
      <c r="Z62" s="66">
        <f>0</f>
        <v>0</v>
      </c>
      <c r="AA62" s="66">
        <f>0</f>
        <v>0</v>
      </c>
      <c r="AB62" s="66">
        <f>0</f>
        <v>0</v>
      </c>
      <c r="AC62" s="66">
        <f>0</f>
        <v>0</v>
      </c>
      <c r="AD62" s="66">
        <f>0</f>
        <v>0</v>
      </c>
      <c r="AE62" s="66">
        <f>0</f>
        <v>0</v>
      </c>
      <c r="AF62" s="66">
        <f>0</f>
        <v>0</v>
      </c>
      <c r="AG62" s="66">
        <f>0</f>
        <v>0</v>
      </c>
      <c r="AH62" s="66">
        <f>0</f>
        <v>0</v>
      </c>
      <c r="AI62" s="66">
        <f>0</f>
        <v>0</v>
      </c>
      <c r="AJ62" s="66">
        <f>0</f>
        <v>0</v>
      </c>
      <c r="AK62" s="66">
        <f>0</f>
        <v>0</v>
      </c>
      <c r="AL62" s="67">
        <f>0</f>
        <v>0</v>
      </c>
    </row>
    <row r="63" spans="1:38" ht="49.5" customHeight="1" outlineLevel="2">
      <c r="A63" s="298" t="s">
        <v>31</v>
      </c>
      <c r="B63" s="47" t="s">
        <v>185</v>
      </c>
      <c r="C63" s="284"/>
      <c r="D63" s="285" t="s">
        <v>238</v>
      </c>
      <c r="E63" s="94" t="s">
        <v>31</v>
      </c>
      <c r="F63" s="68" t="s">
        <v>31</v>
      </c>
      <c r="G63" s="68" t="s">
        <v>31</v>
      </c>
      <c r="H63" s="69" t="s">
        <v>31</v>
      </c>
      <c r="I63" s="256" t="str">
        <f>IF(I59&lt;=I61,"Spełniona","Nie spełniona")</f>
        <v>Spełniona</v>
      </c>
      <c r="J63" s="257" t="str">
        <f aca="true" t="shared" si="6" ref="J63:AL63">IF(J59&lt;=J61,"Spełniona","Nie spełniona")</f>
        <v>Spełniona</v>
      </c>
      <c r="K63" s="257" t="str">
        <f t="shared" si="6"/>
        <v>Spełniona</v>
      </c>
      <c r="L63" s="257" t="str">
        <f t="shared" si="6"/>
        <v>Spełniona</v>
      </c>
      <c r="M63" s="257" t="str">
        <f t="shared" si="6"/>
        <v>Spełniona</v>
      </c>
      <c r="N63" s="257" t="str">
        <f t="shared" si="6"/>
        <v>Spełniona</v>
      </c>
      <c r="O63" s="257" t="str">
        <f t="shared" si="6"/>
        <v>Spełniona</v>
      </c>
      <c r="P63" s="257" t="str">
        <f t="shared" si="6"/>
        <v>Spełniona</v>
      </c>
      <c r="Q63" s="257" t="str">
        <f t="shared" si="6"/>
        <v>Spełniona</v>
      </c>
      <c r="R63" s="257" t="str">
        <f t="shared" si="6"/>
        <v>Spełniona</v>
      </c>
      <c r="S63" s="257" t="str">
        <f t="shared" si="6"/>
        <v>Spełniona</v>
      </c>
      <c r="T63" s="257" t="str">
        <f t="shared" si="6"/>
        <v>Spełniona</v>
      </c>
      <c r="U63" s="257" t="str">
        <f t="shared" si="6"/>
        <v>Spełniona</v>
      </c>
      <c r="V63" s="257" t="str">
        <f t="shared" si="6"/>
        <v>Spełniona</v>
      </c>
      <c r="W63" s="257" t="str">
        <f t="shared" si="6"/>
        <v>Spełniona</v>
      </c>
      <c r="X63" s="257" t="str">
        <f t="shared" si="6"/>
        <v>Spełniona</v>
      </c>
      <c r="Y63" s="257" t="str">
        <f t="shared" si="6"/>
        <v>Spełniona</v>
      </c>
      <c r="Z63" s="257" t="str">
        <f t="shared" si="6"/>
        <v>Spełniona</v>
      </c>
      <c r="AA63" s="257" t="str">
        <f t="shared" si="6"/>
        <v>Spełniona</v>
      </c>
      <c r="AB63" s="257" t="str">
        <f t="shared" si="6"/>
        <v>Spełniona</v>
      </c>
      <c r="AC63" s="257" t="str">
        <f t="shared" si="6"/>
        <v>Spełniona</v>
      </c>
      <c r="AD63" s="257" t="str">
        <f t="shared" si="6"/>
        <v>Spełniona</v>
      </c>
      <c r="AE63" s="257" t="str">
        <f t="shared" si="6"/>
        <v>Spełniona</v>
      </c>
      <c r="AF63" s="257" t="str">
        <f t="shared" si="6"/>
        <v>Spełniona</v>
      </c>
      <c r="AG63" s="257" t="str">
        <f t="shared" si="6"/>
        <v>Spełniona</v>
      </c>
      <c r="AH63" s="257" t="str">
        <f t="shared" si="6"/>
        <v>Spełniona</v>
      </c>
      <c r="AI63" s="257" t="str">
        <f t="shared" si="6"/>
        <v>Spełniona</v>
      </c>
      <c r="AJ63" s="257" t="str">
        <f t="shared" si="6"/>
        <v>Spełniona</v>
      </c>
      <c r="AK63" s="257" t="str">
        <f t="shared" si="6"/>
        <v>Spełniona</v>
      </c>
      <c r="AL63" s="258" t="str">
        <f t="shared" si="6"/>
        <v>Spełniona</v>
      </c>
    </row>
    <row r="64" spans="1:38" ht="49.5" customHeight="1" outlineLevel="2">
      <c r="A64" s="298" t="s">
        <v>31</v>
      </c>
      <c r="B64" s="47" t="s">
        <v>106</v>
      </c>
      <c r="C64" s="284"/>
      <c r="D64" s="286" t="s">
        <v>237</v>
      </c>
      <c r="E64" s="94" t="s">
        <v>31</v>
      </c>
      <c r="F64" s="68" t="s">
        <v>31</v>
      </c>
      <c r="G64" s="68" t="s">
        <v>31</v>
      </c>
      <c r="H64" s="69" t="s">
        <v>31</v>
      </c>
      <c r="I64" s="256" t="str">
        <f>IF(I59&lt;=I62,"Spełniona","Nie spełniona")</f>
        <v>Spełniona</v>
      </c>
      <c r="J64" s="257" t="str">
        <f aca="true" t="shared" si="7" ref="J64:AL64">IF(J59&lt;=J62,"Spełniona","Nie spełniona")</f>
        <v>Spełniona</v>
      </c>
      <c r="K64" s="257" t="str">
        <f t="shared" si="7"/>
        <v>Spełniona</v>
      </c>
      <c r="L64" s="257" t="str">
        <f t="shared" si="7"/>
        <v>Spełniona</v>
      </c>
      <c r="M64" s="257" t="str">
        <f t="shared" si="7"/>
        <v>Spełniona</v>
      </c>
      <c r="N64" s="257" t="str">
        <f t="shared" si="7"/>
        <v>Spełniona</v>
      </c>
      <c r="O64" s="257" t="str">
        <f t="shared" si="7"/>
        <v>Spełniona</v>
      </c>
      <c r="P64" s="257" t="str">
        <f t="shared" si="7"/>
        <v>Spełniona</v>
      </c>
      <c r="Q64" s="257" t="str">
        <f t="shared" si="7"/>
        <v>Spełniona</v>
      </c>
      <c r="R64" s="257" t="str">
        <f t="shared" si="7"/>
        <v>Spełniona</v>
      </c>
      <c r="S64" s="257" t="str">
        <f t="shared" si="7"/>
        <v>Spełniona</v>
      </c>
      <c r="T64" s="257" t="str">
        <f t="shared" si="7"/>
        <v>Spełniona</v>
      </c>
      <c r="U64" s="257" t="str">
        <f t="shared" si="7"/>
        <v>Spełniona</v>
      </c>
      <c r="V64" s="257" t="str">
        <f t="shared" si="7"/>
        <v>Spełniona</v>
      </c>
      <c r="W64" s="257" t="str">
        <f t="shared" si="7"/>
        <v>Spełniona</v>
      </c>
      <c r="X64" s="257" t="str">
        <f t="shared" si="7"/>
        <v>Spełniona</v>
      </c>
      <c r="Y64" s="257" t="str">
        <f t="shared" si="7"/>
        <v>Spełniona</v>
      </c>
      <c r="Z64" s="257" t="str">
        <f t="shared" si="7"/>
        <v>Spełniona</v>
      </c>
      <c r="AA64" s="257" t="str">
        <f t="shared" si="7"/>
        <v>Spełniona</v>
      </c>
      <c r="AB64" s="257" t="str">
        <f t="shared" si="7"/>
        <v>Spełniona</v>
      </c>
      <c r="AC64" s="257" t="str">
        <f t="shared" si="7"/>
        <v>Spełniona</v>
      </c>
      <c r="AD64" s="257" t="str">
        <f t="shared" si="7"/>
        <v>Spełniona</v>
      </c>
      <c r="AE64" s="257" t="str">
        <f t="shared" si="7"/>
        <v>Spełniona</v>
      </c>
      <c r="AF64" s="257" t="str">
        <f t="shared" si="7"/>
        <v>Spełniona</v>
      </c>
      <c r="AG64" s="257" t="str">
        <f t="shared" si="7"/>
        <v>Spełniona</v>
      </c>
      <c r="AH64" s="257" t="str">
        <f t="shared" si="7"/>
        <v>Spełniona</v>
      </c>
      <c r="AI64" s="257" t="str">
        <f t="shared" si="7"/>
        <v>Spełniona</v>
      </c>
      <c r="AJ64" s="257" t="str">
        <f t="shared" si="7"/>
        <v>Spełniona</v>
      </c>
      <c r="AK64" s="257" t="str">
        <f t="shared" si="7"/>
        <v>Spełniona</v>
      </c>
      <c r="AL64" s="258" t="str">
        <f t="shared" si="7"/>
        <v>Spełniona</v>
      </c>
    </row>
    <row r="65" spans="2:39" ht="15" customHeight="1" outlineLevel="1">
      <c r="B65" s="46">
        <v>10</v>
      </c>
      <c r="C65" s="299"/>
      <c r="D65" s="283" t="s">
        <v>239</v>
      </c>
      <c r="E65" s="90">
        <f>0</f>
        <v>0</v>
      </c>
      <c r="F65" s="49">
        <f>0</f>
        <v>0</v>
      </c>
      <c r="G65" s="49">
        <f>0</f>
        <v>0</v>
      </c>
      <c r="H65" s="50">
        <f>0</f>
        <v>0</v>
      </c>
      <c r="I65" s="51">
        <f>2374361</f>
        <v>2374361</v>
      </c>
      <c r="J65" s="52">
        <f>4319922</f>
        <v>4319922</v>
      </c>
      <c r="K65" s="52">
        <f aca="true" t="shared" si="8" ref="K65:P66">2501733</f>
        <v>2501733</v>
      </c>
      <c r="L65" s="52">
        <f t="shared" si="8"/>
        <v>2501733</v>
      </c>
      <c r="M65" s="52">
        <f t="shared" si="8"/>
        <v>2501733</v>
      </c>
      <c r="N65" s="52">
        <f t="shared" si="8"/>
        <v>2501733</v>
      </c>
      <c r="O65" s="52">
        <f t="shared" si="8"/>
        <v>2501733</v>
      </c>
      <c r="P65" s="52">
        <f t="shared" si="8"/>
        <v>2501733</v>
      </c>
      <c r="Q65" s="52">
        <f>2501731</f>
        <v>2501731</v>
      </c>
      <c r="R65" s="52">
        <f>2154468</f>
        <v>2154468</v>
      </c>
      <c r="S65" s="52">
        <f>2154468</f>
        <v>2154468</v>
      </c>
      <c r="T65" s="52">
        <f>2154460</f>
        <v>2154460</v>
      </c>
      <c r="U65" s="52">
        <f>500000</f>
        <v>500000</v>
      </c>
      <c r="V65" s="52">
        <f>500000</f>
        <v>500000</v>
      </c>
      <c r="W65" s="52">
        <f>0</f>
        <v>0</v>
      </c>
      <c r="X65" s="52">
        <f>0</f>
        <v>0</v>
      </c>
      <c r="Y65" s="52">
        <f>0</f>
        <v>0</v>
      </c>
      <c r="Z65" s="52">
        <f>0</f>
        <v>0</v>
      </c>
      <c r="AA65" s="52">
        <f>0</f>
        <v>0</v>
      </c>
      <c r="AB65" s="52">
        <f>0</f>
        <v>0</v>
      </c>
      <c r="AC65" s="52">
        <f>0</f>
        <v>0</v>
      </c>
      <c r="AD65" s="52">
        <f>0</f>
        <v>0</v>
      </c>
      <c r="AE65" s="52">
        <f>0</f>
        <v>0</v>
      </c>
      <c r="AF65" s="52">
        <f>0</f>
        <v>0</v>
      </c>
      <c r="AG65" s="52">
        <f>0</f>
        <v>0</v>
      </c>
      <c r="AH65" s="52">
        <f>0</f>
        <v>0</v>
      </c>
      <c r="AI65" s="52">
        <f>0</f>
        <v>0</v>
      </c>
      <c r="AJ65" s="52">
        <f>0</f>
        <v>0</v>
      </c>
      <c r="AK65" s="52">
        <f>0</f>
        <v>0</v>
      </c>
      <c r="AL65" s="53">
        <f>0</f>
        <v>0</v>
      </c>
      <c r="AM65" s="42"/>
    </row>
    <row r="66" spans="2:38" ht="15" customHeight="1" outlineLevel="2">
      <c r="B66" s="47" t="s">
        <v>186</v>
      </c>
      <c r="C66" s="284"/>
      <c r="D66" s="285" t="s">
        <v>240</v>
      </c>
      <c r="E66" s="91">
        <f>0</f>
        <v>0</v>
      </c>
      <c r="F66" s="54">
        <f>0</f>
        <v>0</v>
      </c>
      <c r="G66" s="54">
        <f>0</f>
        <v>0</v>
      </c>
      <c r="H66" s="55">
        <f>0</f>
        <v>0</v>
      </c>
      <c r="I66" s="56">
        <f>2374361</f>
        <v>2374361</v>
      </c>
      <c r="J66" s="57">
        <f>4319922</f>
        <v>4319922</v>
      </c>
      <c r="K66" s="57">
        <f t="shared" si="8"/>
        <v>2501733</v>
      </c>
      <c r="L66" s="57">
        <f t="shared" si="8"/>
        <v>2501733</v>
      </c>
      <c r="M66" s="57">
        <f t="shared" si="8"/>
        <v>2501733</v>
      </c>
      <c r="N66" s="57">
        <f t="shared" si="8"/>
        <v>2501733</v>
      </c>
      <c r="O66" s="57">
        <f t="shared" si="8"/>
        <v>2501733</v>
      </c>
      <c r="P66" s="57">
        <f t="shared" si="8"/>
        <v>2501733</v>
      </c>
      <c r="Q66" s="57">
        <f>2501731</f>
        <v>2501731</v>
      </c>
      <c r="R66" s="57">
        <f>2154468</f>
        <v>2154468</v>
      </c>
      <c r="S66" s="57">
        <f>2154468</f>
        <v>2154468</v>
      </c>
      <c r="T66" s="57">
        <f>2154460</f>
        <v>2154460</v>
      </c>
      <c r="U66" s="57">
        <f>500000</f>
        <v>500000</v>
      </c>
      <c r="V66" s="57">
        <f>500000</f>
        <v>500000</v>
      </c>
      <c r="W66" s="57">
        <f>0</f>
        <v>0</v>
      </c>
      <c r="X66" s="57">
        <f>0</f>
        <v>0</v>
      </c>
      <c r="Y66" s="57">
        <f>0</f>
        <v>0</v>
      </c>
      <c r="Z66" s="57">
        <f>0</f>
        <v>0</v>
      </c>
      <c r="AA66" s="57">
        <f>0</f>
        <v>0</v>
      </c>
      <c r="AB66" s="57">
        <f>0</f>
        <v>0</v>
      </c>
      <c r="AC66" s="57">
        <f>0</f>
        <v>0</v>
      </c>
      <c r="AD66" s="57">
        <f>0</f>
        <v>0</v>
      </c>
      <c r="AE66" s="57">
        <f>0</f>
        <v>0</v>
      </c>
      <c r="AF66" s="57">
        <f>0</f>
        <v>0</v>
      </c>
      <c r="AG66" s="57">
        <f>0</f>
        <v>0</v>
      </c>
      <c r="AH66" s="57">
        <f>0</f>
        <v>0</v>
      </c>
      <c r="AI66" s="57">
        <f>0</f>
        <v>0</v>
      </c>
      <c r="AJ66" s="57">
        <f>0</f>
        <v>0</v>
      </c>
      <c r="AK66" s="57">
        <f>0</f>
        <v>0</v>
      </c>
      <c r="AL66" s="58">
        <f>0</f>
        <v>0</v>
      </c>
    </row>
    <row r="67" spans="2:39" ht="15" customHeight="1" outlineLevel="1">
      <c r="B67" s="46">
        <v>11</v>
      </c>
      <c r="C67" s="299"/>
      <c r="D67" s="283" t="s">
        <v>110</v>
      </c>
      <c r="E67" s="94" t="s">
        <v>31</v>
      </c>
      <c r="F67" s="68" t="s">
        <v>31</v>
      </c>
      <c r="G67" s="68" t="s">
        <v>31</v>
      </c>
      <c r="H67" s="69" t="s">
        <v>31</v>
      </c>
      <c r="I67" s="70" t="s">
        <v>31</v>
      </c>
      <c r="J67" s="71" t="s">
        <v>31</v>
      </c>
      <c r="K67" s="71" t="s">
        <v>31</v>
      </c>
      <c r="L67" s="71" t="s">
        <v>31</v>
      </c>
      <c r="M67" s="71" t="s">
        <v>31</v>
      </c>
      <c r="N67" s="71" t="s">
        <v>31</v>
      </c>
      <c r="O67" s="71" t="s">
        <v>31</v>
      </c>
      <c r="P67" s="71" t="s">
        <v>31</v>
      </c>
      <c r="Q67" s="71" t="s">
        <v>31</v>
      </c>
      <c r="R67" s="71" t="s">
        <v>31</v>
      </c>
      <c r="S67" s="71" t="s">
        <v>31</v>
      </c>
      <c r="T67" s="71" t="s">
        <v>31</v>
      </c>
      <c r="U67" s="71" t="s">
        <v>31</v>
      </c>
      <c r="V67" s="71" t="s">
        <v>31</v>
      </c>
      <c r="W67" s="71" t="s">
        <v>31</v>
      </c>
      <c r="X67" s="71" t="s">
        <v>31</v>
      </c>
      <c r="Y67" s="71" t="s">
        <v>31</v>
      </c>
      <c r="Z67" s="71" t="s">
        <v>31</v>
      </c>
      <c r="AA67" s="71" t="s">
        <v>31</v>
      </c>
      <c r="AB67" s="71" t="s">
        <v>31</v>
      </c>
      <c r="AC67" s="71" t="s">
        <v>31</v>
      </c>
      <c r="AD67" s="71" t="s">
        <v>31</v>
      </c>
      <c r="AE67" s="71" t="s">
        <v>31</v>
      </c>
      <c r="AF67" s="71" t="s">
        <v>31</v>
      </c>
      <c r="AG67" s="71" t="s">
        <v>31</v>
      </c>
      <c r="AH67" s="71" t="s">
        <v>31</v>
      </c>
      <c r="AI67" s="71" t="s">
        <v>31</v>
      </c>
      <c r="AJ67" s="71" t="s">
        <v>31</v>
      </c>
      <c r="AK67" s="71" t="s">
        <v>31</v>
      </c>
      <c r="AL67" s="72" t="s">
        <v>31</v>
      </c>
      <c r="AM67" s="42"/>
    </row>
    <row r="68" spans="2:38" ht="15" customHeight="1" outlineLevel="2">
      <c r="B68" s="47" t="s">
        <v>187</v>
      </c>
      <c r="C68" s="284"/>
      <c r="D68" s="285" t="s">
        <v>241</v>
      </c>
      <c r="E68" s="91">
        <f>24634450</f>
        <v>24634450</v>
      </c>
      <c r="F68" s="54">
        <f>26238965</f>
        <v>26238965</v>
      </c>
      <c r="G68" s="54">
        <f>28695601</f>
        <v>28695601</v>
      </c>
      <c r="H68" s="55">
        <f>28218578</f>
        <v>28218578</v>
      </c>
      <c r="I68" s="56">
        <f>30747661</f>
        <v>30747661</v>
      </c>
      <c r="J68" s="57">
        <f>30800000</f>
        <v>30800000</v>
      </c>
      <c r="K68" s="57">
        <f>30900000</f>
        <v>30900000</v>
      </c>
      <c r="L68" s="57">
        <f>31000000</f>
        <v>31000000</v>
      </c>
      <c r="M68" s="57">
        <f>31200000</f>
        <v>31200000</v>
      </c>
      <c r="N68" s="57">
        <f>31800000</f>
        <v>31800000</v>
      </c>
      <c r="O68" s="57">
        <f>32400000</f>
        <v>32400000</v>
      </c>
      <c r="P68" s="57">
        <f>33000000</f>
        <v>33000000</v>
      </c>
      <c r="Q68" s="57">
        <f>33600000</f>
        <v>33600000</v>
      </c>
      <c r="R68" s="57">
        <f>34200000</f>
        <v>34200000</v>
      </c>
      <c r="S68" s="57">
        <f>34800000</f>
        <v>34800000</v>
      </c>
      <c r="T68" s="57">
        <f>35400000</f>
        <v>35400000</v>
      </c>
      <c r="U68" s="57">
        <f>36000000</f>
        <v>36000000</v>
      </c>
      <c r="V68" s="57">
        <f>36600000</f>
        <v>36600000</v>
      </c>
      <c r="W68" s="57">
        <f>0</f>
        <v>0</v>
      </c>
      <c r="X68" s="57">
        <f>0</f>
        <v>0</v>
      </c>
      <c r="Y68" s="57">
        <f>0</f>
        <v>0</v>
      </c>
      <c r="Z68" s="57">
        <f>0</f>
        <v>0</v>
      </c>
      <c r="AA68" s="57">
        <f>0</f>
        <v>0</v>
      </c>
      <c r="AB68" s="57">
        <f>0</f>
        <v>0</v>
      </c>
      <c r="AC68" s="57">
        <f>0</f>
        <v>0</v>
      </c>
      <c r="AD68" s="57">
        <f>0</f>
        <v>0</v>
      </c>
      <c r="AE68" s="57">
        <f>0</f>
        <v>0</v>
      </c>
      <c r="AF68" s="57">
        <f>0</f>
        <v>0</v>
      </c>
      <c r="AG68" s="57">
        <f>0</f>
        <v>0</v>
      </c>
      <c r="AH68" s="57">
        <f>0</f>
        <v>0</v>
      </c>
      <c r="AI68" s="57">
        <f>0</f>
        <v>0</v>
      </c>
      <c r="AJ68" s="57">
        <f>0</f>
        <v>0</v>
      </c>
      <c r="AK68" s="57">
        <f>0</f>
        <v>0</v>
      </c>
      <c r="AL68" s="58">
        <f>0</f>
        <v>0</v>
      </c>
    </row>
    <row r="69" spans="2:38" ht="15" customHeight="1" outlineLevel="2">
      <c r="B69" s="47" t="s">
        <v>188</v>
      </c>
      <c r="C69" s="284"/>
      <c r="D69" s="285" t="s">
        <v>242</v>
      </c>
      <c r="E69" s="91">
        <f>14641285</f>
        <v>14641285</v>
      </c>
      <c r="F69" s="54">
        <f>10683212</f>
        <v>10683212</v>
      </c>
      <c r="G69" s="54">
        <f>11667199</f>
        <v>11667199</v>
      </c>
      <c r="H69" s="55">
        <f>10893386</f>
        <v>10893386</v>
      </c>
      <c r="I69" s="56">
        <f>11814217</f>
        <v>11814217</v>
      </c>
      <c r="J69" s="57">
        <f>11902403</f>
        <v>11902403</v>
      </c>
      <c r="K69" s="57">
        <f>12002403</f>
        <v>12002403</v>
      </c>
      <c r="L69" s="57">
        <f>12000000</f>
        <v>12000000</v>
      </c>
      <c r="M69" s="57">
        <f>12100000</f>
        <v>12100000</v>
      </c>
      <c r="N69" s="57">
        <f>12200000</f>
        <v>12200000</v>
      </c>
      <c r="O69" s="57">
        <f>12300000</f>
        <v>12300000</v>
      </c>
      <c r="P69" s="57">
        <f>12400000</f>
        <v>12400000</v>
      </c>
      <c r="Q69" s="57">
        <f>12500000</f>
        <v>12500000</v>
      </c>
      <c r="R69" s="57">
        <f>12600000</f>
        <v>12600000</v>
      </c>
      <c r="S69" s="57">
        <f>12700000</f>
        <v>12700000</v>
      </c>
      <c r="T69" s="57">
        <f>12750000</f>
        <v>12750000</v>
      </c>
      <c r="U69" s="57">
        <f>12850000</f>
        <v>12850000</v>
      </c>
      <c r="V69" s="57">
        <f>13000000</f>
        <v>13000000</v>
      </c>
      <c r="W69" s="57">
        <f>0</f>
        <v>0</v>
      </c>
      <c r="X69" s="57">
        <f>0</f>
        <v>0</v>
      </c>
      <c r="Y69" s="57">
        <f>0</f>
        <v>0</v>
      </c>
      <c r="Z69" s="57">
        <f>0</f>
        <v>0</v>
      </c>
      <c r="AA69" s="57">
        <f>0</f>
        <v>0</v>
      </c>
      <c r="AB69" s="57">
        <f>0</f>
        <v>0</v>
      </c>
      <c r="AC69" s="57">
        <f>0</f>
        <v>0</v>
      </c>
      <c r="AD69" s="57">
        <f>0</f>
        <v>0</v>
      </c>
      <c r="AE69" s="57">
        <f>0</f>
        <v>0</v>
      </c>
      <c r="AF69" s="57">
        <f>0</f>
        <v>0</v>
      </c>
      <c r="AG69" s="57">
        <f>0</f>
        <v>0</v>
      </c>
      <c r="AH69" s="57">
        <f>0</f>
        <v>0</v>
      </c>
      <c r="AI69" s="57">
        <f>0</f>
        <v>0</v>
      </c>
      <c r="AJ69" s="57">
        <f>0</f>
        <v>0</v>
      </c>
      <c r="AK69" s="57">
        <f>0</f>
        <v>0</v>
      </c>
      <c r="AL69" s="58">
        <f>0</f>
        <v>0</v>
      </c>
    </row>
    <row r="70" spans="2:38" ht="15" customHeight="1" outlineLevel="2">
      <c r="B70" s="47" t="s">
        <v>189</v>
      </c>
      <c r="C70" s="284"/>
      <c r="D70" s="285" t="s">
        <v>245</v>
      </c>
      <c r="E70" s="91">
        <f>0</f>
        <v>0</v>
      </c>
      <c r="F70" s="54">
        <f>5344358</f>
        <v>5344358</v>
      </c>
      <c r="G70" s="54">
        <f>22454867</f>
        <v>22454867</v>
      </c>
      <c r="H70" s="55">
        <f>21917958</f>
        <v>21917958</v>
      </c>
      <c r="I70" s="56">
        <f>19588880</f>
        <v>19588880</v>
      </c>
      <c r="J70" s="57">
        <f>16604173</f>
        <v>16604173</v>
      </c>
      <c r="K70" s="57">
        <f>13343053</f>
        <v>13343053</v>
      </c>
      <c r="L70" s="57">
        <f>7000000</f>
        <v>7000000</v>
      </c>
      <c r="M70" s="57">
        <f>0</f>
        <v>0</v>
      </c>
      <c r="N70" s="57">
        <f>0</f>
        <v>0</v>
      </c>
      <c r="O70" s="57">
        <f>0</f>
        <v>0</v>
      </c>
      <c r="P70" s="57">
        <f>0</f>
        <v>0</v>
      </c>
      <c r="Q70" s="57">
        <f>0</f>
        <v>0</v>
      </c>
      <c r="R70" s="57">
        <f>0</f>
        <v>0</v>
      </c>
      <c r="S70" s="57">
        <f>0</f>
        <v>0</v>
      </c>
      <c r="T70" s="57">
        <f>0</f>
        <v>0</v>
      </c>
      <c r="U70" s="57">
        <f>0</f>
        <v>0</v>
      </c>
      <c r="V70" s="57">
        <f>0</f>
        <v>0</v>
      </c>
      <c r="W70" s="57">
        <f>0</f>
        <v>0</v>
      </c>
      <c r="X70" s="57">
        <f>0</f>
        <v>0</v>
      </c>
      <c r="Y70" s="57">
        <f>0</f>
        <v>0</v>
      </c>
      <c r="Z70" s="57">
        <f>0</f>
        <v>0</v>
      </c>
      <c r="AA70" s="57">
        <f>0</f>
        <v>0</v>
      </c>
      <c r="AB70" s="57">
        <f>0</f>
        <v>0</v>
      </c>
      <c r="AC70" s="57">
        <f>0</f>
        <v>0</v>
      </c>
      <c r="AD70" s="57">
        <f>0</f>
        <v>0</v>
      </c>
      <c r="AE70" s="57">
        <f>0</f>
        <v>0</v>
      </c>
      <c r="AF70" s="57">
        <f>0</f>
        <v>0</v>
      </c>
      <c r="AG70" s="57">
        <f>0</f>
        <v>0</v>
      </c>
      <c r="AH70" s="57">
        <f>0</f>
        <v>0</v>
      </c>
      <c r="AI70" s="57">
        <f>0</f>
        <v>0</v>
      </c>
      <c r="AJ70" s="57">
        <f>0</f>
        <v>0</v>
      </c>
      <c r="AK70" s="57">
        <f>0</f>
        <v>0</v>
      </c>
      <c r="AL70" s="58">
        <f>0</f>
        <v>0</v>
      </c>
    </row>
    <row r="71" spans="2:38" ht="15" customHeight="1" outlineLevel="3">
      <c r="B71" s="47" t="s">
        <v>114</v>
      </c>
      <c r="C71" s="284"/>
      <c r="D71" s="286" t="s">
        <v>243</v>
      </c>
      <c r="E71" s="91">
        <f>0</f>
        <v>0</v>
      </c>
      <c r="F71" s="54">
        <f>276122</f>
        <v>276122</v>
      </c>
      <c r="G71" s="54">
        <f>912367</f>
        <v>912367</v>
      </c>
      <c r="H71" s="55">
        <f>828741</f>
        <v>828741</v>
      </c>
      <c r="I71" s="56">
        <f>574365</f>
        <v>574365</v>
      </c>
      <c r="J71" s="57">
        <f>701770</f>
        <v>701770</v>
      </c>
      <c r="K71" s="57">
        <f>140650</f>
        <v>140650</v>
      </c>
      <c r="L71" s="57">
        <f>0</f>
        <v>0</v>
      </c>
      <c r="M71" s="57">
        <f>0</f>
        <v>0</v>
      </c>
      <c r="N71" s="57">
        <f>0</f>
        <v>0</v>
      </c>
      <c r="O71" s="57">
        <f>0</f>
        <v>0</v>
      </c>
      <c r="P71" s="57">
        <f>0</f>
        <v>0</v>
      </c>
      <c r="Q71" s="57">
        <f>0</f>
        <v>0</v>
      </c>
      <c r="R71" s="57">
        <f>0</f>
        <v>0</v>
      </c>
      <c r="S71" s="57">
        <f>0</f>
        <v>0</v>
      </c>
      <c r="T71" s="57">
        <f>0</f>
        <v>0</v>
      </c>
      <c r="U71" s="57">
        <f>0</f>
        <v>0</v>
      </c>
      <c r="V71" s="57">
        <f>0</f>
        <v>0</v>
      </c>
      <c r="W71" s="57">
        <f>0</f>
        <v>0</v>
      </c>
      <c r="X71" s="57">
        <f>0</f>
        <v>0</v>
      </c>
      <c r="Y71" s="57">
        <f>0</f>
        <v>0</v>
      </c>
      <c r="Z71" s="57">
        <f>0</f>
        <v>0</v>
      </c>
      <c r="AA71" s="57">
        <f>0</f>
        <v>0</v>
      </c>
      <c r="AB71" s="57">
        <f>0</f>
        <v>0</v>
      </c>
      <c r="AC71" s="57">
        <f>0</f>
        <v>0</v>
      </c>
      <c r="AD71" s="57">
        <f>0</f>
        <v>0</v>
      </c>
      <c r="AE71" s="57">
        <f>0</f>
        <v>0</v>
      </c>
      <c r="AF71" s="57">
        <f>0</f>
        <v>0</v>
      </c>
      <c r="AG71" s="57">
        <f>0</f>
        <v>0</v>
      </c>
      <c r="AH71" s="57">
        <f>0</f>
        <v>0</v>
      </c>
      <c r="AI71" s="57">
        <f>0</f>
        <v>0</v>
      </c>
      <c r="AJ71" s="57">
        <f>0</f>
        <v>0</v>
      </c>
      <c r="AK71" s="57">
        <f>0</f>
        <v>0</v>
      </c>
      <c r="AL71" s="58">
        <f>0</f>
        <v>0</v>
      </c>
    </row>
    <row r="72" spans="2:38" ht="15" customHeight="1" outlineLevel="3">
      <c r="B72" s="47" t="s">
        <v>116</v>
      </c>
      <c r="C72" s="284"/>
      <c r="D72" s="286" t="s">
        <v>244</v>
      </c>
      <c r="E72" s="91">
        <f>0</f>
        <v>0</v>
      </c>
      <c r="F72" s="54">
        <f>5068236</f>
        <v>5068236</v>
      </c>
      <c r="G72" s="54">
        <f>21542500</f>
        <v>21542500</v>
      </c>
      <c r="H72" s="55">
        <f>21089217</f>
        <v>21089217</v>
      </c>
      <c r="I72" s="56">
        <f>19014515</f>
        <v>19014515</v>
      </c>
      <c r="J72" s="57">
        <f>15902403</f>
        <v>15902403</v>
      </c>
      <c r="K72" s="57">
        <f>13202403</f>
        <v>13202403</v>
      </c>
      <c r="L72" s="57">
        <f>7000000</f>
        <v>7000000</v>
      </c>
      <c r="M72" s="57">
        <f>0</f>
        <v>0</v>
      </c>
      <c r="N72" s="57">
        <f>0</f>
        <v>0</v>
      </c>
      <c r="O72" s="57">
        <f>0</f>
        <v>0</v>
      </c>
      <c r="P72" s="57">
        <f>0</f>
        <v>0</v>
      </c>
      <c r="Q72" s="57">
        <f>0</f>
        <v>0</v>
      </c>
      <c r="R72" s="57">
        <f>0</f>
        <v>0</v>
      </c>
      <c r="S72" s="57">
        <f>0</f>
        <v>0</v>
      </c>
      <c r="T72" s="57">
        <f>0</f>
        <v>0</v>
      </c>
      <c r="U72" s="57">
        <f>0</f>
        <v>0</v>
      </c>
      <c r="V72" s="57">
        <f>0</f>
        <v>0</v>
      </c>
      <c r="W72" s="57">
        <f>0</f>
        <v>0</v>
      </c>
      <c r="X72" s="57">
        <f>0</f>
        <v>0</v>
      </c>
      <c r="Y72" s="57">
        <f>0</f>
        <v>0</v>
      </c>
      <c r="Z72" s="57">
        <f>0</f>
        <v>0</v>
      </c>
      <c r="AA72" s="57">
        <f>0</f>
        <v>0</v>
      </c>
      <c r="AB72" s="57">
        <f>0</f>
        <v>0</v>
      </c>
      <c r="AC72" s="57">
        <f>0</f>
        <v>0</v>
      </c>
      <c r="AD72" s="57">
        <f>0</f>
        <v>0</v>
      </c>
      <c r="AE72" s="57">
        <f>0</f>
        <v>0</v>
      </c>
      <c r="AF72" s="57">
        <f>0</f>
        <v>0</v>
      </c>
      <c r="AG72" s="57">
        <f>0</f>
        <v>0</v>
      </c>
      <c r="AH72" s="57">
        <f>0</f>
        <v>0</v>
      </c>
      <c r="AI72" s="57">
        <f>0</f>
        <v>0</v>
      </c>
      <c r="AJ72" s="57">
        <f>0</f>
        <v>0</v>
      </c>
      <c r="AK72" s="57">
        <f>0</f>
        <v>0</v>
      </c>
      <c r="AL72" s="58">
        <f>0</f>
        <v>0</v>
      </c>
    </row>
    <row r="73" spans="2:38" ht="15" customHeight="1" outlineLevel="2">
      <c r="B73" s="47" t="s">
        <v>190</v>
      </c>
      <c r="C73" s="284"/>
      <c r="D73" s="285" t="s">
        <v>246</v>
      </c>
      <c r="E73" s="91">
        <f>0</f>
        <v>0</v>
      </c>
      <c r="F73" s="54">
        <f>5068236</f>
        <v>5068236</v>
      </c>
      <c r="G73" s="54">
        <f>21542500</f>
        <v>21542500</v>
      </c>
      <c r="H73" s="55">
        <f>21089217</f>
        <v>21089217</v>
      </c>
      <c r="I73" s="56">
        <f>18581839</f>
        <v>18581839</v>
      </c>
      <c r="J73" s="57">
        <f>15902403</f>
        <v>15902403</v>
      </c>
      <c r="K73" s="57">
        <f>13202403</f>
        <v>13202403</v>
      </c>
      <c r="L73" s="57">
        <f>7000000</f>
        <v>7000000</v>
      </c>
      <c r="M73" s="57">
        <f>0</f>
        <v>0</v>
      </c>
      <c r="N73" s="57">
        <f>0</f>
        <v>0</v>
      </c>
      <c r="O73" s="57">
        <f>0</f>
        <v>0</v>
      </c>
      <c r="P73" s="57">
        <f>0</f>
        <v>0</v>
      </c>
      <c r="Q73" s="57">
        <f>0</f>
        <v>0</v>
      </c>
      <c r="R73" s="57">
        <f>0</f>
        <v>0</v>
      </c>
      <c r="S73" s="57">
        <f>0</f>
        <v>0</v>
      </c>
      <c r="T73" s="57">
        <f>0</f>
        <v>0</v>
      </c>
      <c r="U73" s="57">
        <f>0</f>
        <v>0</v>
      </c>
      <c r="V73" s="57">
        <f>0</f>
        <v>0</v>
      </c>
      <c r="W73" s="57">
        <f>0</f>
        <v>0</v>
      </c>
      <c r="X73" s="57">
        <f>0</f>
        <v>0</v>
      </c>
      <c r="Y73" s="57">
        <f>0</f>
        <v>0</v>
      </c>
      <c r="Z73" s="57">
        <f>0</f>
        <v>0</v>
      </c>
      <c r="AA73" s="57">
        <f>0</f>
        <v>0</v>
      </c>
      <c r="AB73" s="57">
        <f>0</f>
        <v>0</v>
      </c>
      <c r="AC73" s="57">
        <f>0</f>
        <v>0</v>
      </c>
      <c r="AD73" s="57">
        <f>0</f>
        <v>0</v>
      </c>
      <c r="AE73" s="57">
        <f>0</f>
        <v>0</v>
      </c>
      <c r="AF73" s="57">
        <f>0</f>
        <v>0</v>
      </c>
      <c r="AG73" s="57">
        <f>0</f>
        <v>0</v>
      </c>
      <c r="AH73" s="57">
        <f>0</f>
        <v>0</v>
      </c>
      <c r="AI73" s="57">
        <f>0</f>
        <v>0</v>
      </c>
      <c r="AJ73" s="57">
        <f>0</f>
        <v>0</v>
      </c>
      <c r="AK73" s="57">
        <f>0</f>
        <v>0</v>
      </c>
      <c r="AL73" s="58">
        <f>0</f>
        <v>0</v>
      </c>
    </row>
    <row r="74" spans="2:38" ht="15" customHeight="1" outlineLevel="2">
      <c r="B74" s="47" t="s">
        <v>191</v>
      </c>
      <c r="C74" s="284"/>
      <c r="D74" s="285" t="s">
        <v>247</v>
      </c>
      <c r="E74" s="91">
        <f>7169544</f>
        <v>7169544</v>
      </c>
      <c r="F74" s="54">
        <f>1307491</f>
        <v>1307491</v>
      </c>
      <c r="G74" s="54">
        <f>3085690</f>
        <v>3085690</v>
      </c>
      <c r="H74" s="55">
        <f>2531394</f>
        <v>2531394</v>
      </c>
      <c r="I74" s="56">
        <f>562676</f>
        <v>562676</v>
      </c>
      <c r="J74" s="57">
        <f>0</f>
        <v>0</v>
      </c>
      <c r="K74" s="57">
        <f>0</f>
        <v>0</v>
      </c>
      <c r="L74" s="57">
        <f>0</f>
        <v>0</v>
      </c>
      <c r="M74" s="57">
        <f>1000000</f>
        <v>1000000</v>
      </c>
      <c r="N74" s="57">
        <f>1000000</f>
        <v>1000000</v>
      </c>
      <c r="O74" s="57">
        <f>0</f>
        <v>0</v>
      </c>
      <c r="P74" s="57">
        <f>0</f>
        <v>0</v>
      </c>
      <c r="Q74" s="57">
        <f>0</f>
        <v>0</v>
      </c>
      <c r="R74" s="57">
        <f>0</f>
        <v>0</v>
      </c>
      <c r="S74" s="57">
        <f>0</f>
        <v>0</v>
      </c>
      <c r="T74" s="57">
        <f>0</f>
        <v>0</v>
      </c>
      <c r="U74" s="57">
        <f>0</f>
        <v>0</v>
      </c>
      <c r="V74" s="57">
        <f>0</f>
        <v>0</v>
      </c>
      <c r="W74" s="57">
        <f>0</f>
        <v>0</v>
      </c>
      <c r="X74" s="57">
        <f>0</f>
        <v>0</v>
      </c>
      <c r="Y74" s="57">
        <f>0</f>
        <v>0</v>
      </c>
      <c r="Z74" s="57">
        <f>0</f>
        <v>0</v>
      </c>
      <c r="AA74" s="57">
        <f>0</f>
        <v>0</v>
      </c>
      <c r="AB74" s="57">
        <f>0</f>
        <v>0</v>
      </c>
      <c r="AC74" s="57">
        <f>0</f>
        <v>0</v>
      </c>
      <c r="AD74" s="57">
        <f>0</f>
        <v>0</v>
      </c>
      <c r="AE74" s="57">
        <f>0</f>
        <v>0</v>
      </c>
      <c r="AF74" s="57">
        <f>0</f>
        <v>0</v>
      </c>
      <c r="AG74" s="57">
        <f>0</f>
        <v>0</v>
      </c>
      <c r="AH74" s="57">
        <f>0</f>
        <v>0</v>
      </c>
      <c r="AI74" s="57">
        <f>0</f>
        <v>0</v>
      </c>
      <c r="AJ74" s="57">
        <f>0</f>
        <v>0</v>
      </c>
      <c r="AK74" s="57">
        <f>0</f>
        <v>0</v>
      </c>
      <c r="AL74" s="58">
        <f>0</f>
        <v>0</v>
      </c>
    </row>
    <row r="75" spans="2:38" ht="15" customHeight="1" outlineLevel="2">
      <c r="B75" s="47" t="s">
        <v>192</v>
      </c>
      <c r="C75" s="284"/>
      <c r="D75" s="285" t="s">
        <v>248</v>
      </c>
      <c r="E75" s="91">
        <f>3074004</f>
        <v>3074004</v>
      </c>
      <c r="F75" s="54">
        <f>654639</f>
        <v>654639</v>
      </c>
      <c r="G75" s="54">
        <f>443556</f>
        <v>443556</v>
      </c>
      <c r="H75" s="55">
        <f>443556</f>
        <v>443556</v>
      </c>
      <c r="I75" s="56">
        <f>0</f>
        <v>0</v>
      </c>
      <c r="J75" s="57">
        <f>0</f>
        <v>0</v>
      </c>
      <c r="K75" s="57">
        <f>0</f>
        <v>0</v>
      </c>
      <c r="L75" s="57">
        <f>0</f>
        <v>0</v>
      </c>
      <c r="M75" s="57">
        <f>0</f>
        <v>0</v>
      </c>
      <c r="N75" s="57">
        <f>0</f>
        <v>0</v>
      </c>
      <c r="O75" s="57">
        <f>0</f>
        <v>0</v>
      </c>
      <c r="P75" s="57">
        <f>0</f>
        <v>0</v>
      </c>
      <c r="Q75" s="57">
        <f>0</f>
        <v>0</v>
      </c>
      <c r="R75" s="57">
        <f>0</f>
        <v>0</v>
      </c>
      <c r="S75" s="57">
        <f>0</f>
        <v>0</v>
      </c>
      <c r="T75" s="57">
        <f>0</f>
        <v>0</v>
      </c>
      <c r="U75" s="57">
        <f>0</f>
        <v>0</v>
      </c>
      <c r="V75" s="57">
        <f>0</f>
        <v>0</v>
      </c>
      <c r="W75" s="57">
        <f>0</f>
        <v>0</v>
      </c>
      <c r="X75" s="57">
        <f>0</f>
        <v>0</v>
      </c>
      <c r="Y75" s="57">
        <f>0</f>
        <v>0</v>
      </c>
      <c r="Z75" s="57">
        <f>0</f>
        <v>0</v>
      </c>
      <c r="AA75" s="57">
        <f>0</f>
        <v>0</v>
      </c>
      <c r="AB75" s="57">
        <f>0</f>
        <v>0</v>
      </c>
      <c r="AC75" s="57">
        <f>0</f>
        <v>0</v>
      </c>
      <c r="AD75" s="57">
        <f>0</f>
        <v>0</v>
      </c>
      <c r="AE75" s="57">
        <f>0</f>
        <v>0</v>
      </c>
      <c r="AF75" s="57">
        <f>0</f>
        <v>0</v>
      </c>
      <c r="AG75" s="57">
        <f>0</f>
        <v>0</v>
      </c>
      <c r="AH75" s="57">
        <f>0</f>
        <v>0</v>
      </c>
      <c r="AI75" s="57">
        <f>0</f>
        <v>0</v>
      </c>
      <c r="AJ75" s="57">
        <f>0</f>
        <v>0</v>
      </c>
      <c r="AK75" s="57">
        <f>0</f>
        <v>0</v>
      </c>
      <c r="AL75" s="58">
        <f>0</f>
        <v>0</v>
      </c>
    </row>
    <row r="76" spans="2:39" ht="26.25" customHeight="1" outlineLevel="1">
      <c r="B76" s="46">
        <v>12</v>
      </c>
      <c r="C76" s="299"/>
      <c r="D76" s="283" t="s">
        <v>121</v>
      </c>
      <c r="E76" s="94" t="s">
        <v>31</v>
      </c>
      <c r="F76" s="68" t="s">
        <v>31</v>
      </c>
      <c r="G76" s="68" t="s">
        <v>31</v>
      </c>
      <c r="H76" s="69" t="s">
        <v>31</v>
      </c>
      <c r="I76" s="70" t="s">
        <v>31</v>
      </c>
      <c r="J76" s="71" t="s">
        <v>31</v>
      </c>
      <c r="K76" s="71" t="s">
        <v>31</v>
      </c>
      <c r="L76" s="71" t="s">
        <v>31</v>
      </c>
      <c r="M76" s="71" t="s">
        <v>31</v>
      </c>
      <c r="N76" s="71" t="s">
        <v>31</v>
      </c>
      <c r="O76" s="71" t="s">
        <v>31</v>
      </c>
      <c r="P76" s="71" t="s">
        <v>31</v>
      </c>
      <c r="Q76" s="71" t="s">
        <v>31</v>
      </c>
      <c r="R76" s="71" t="s">
        <v>31</v>
      </c>
      <c r="S76" s="71" t="s">
        <v>31</v>
      </c>
      <c r="T76" s="71" t="s">
        <v>31</v>
      </c>
      <c r="U76" s="71" t="s">
        <v>31</v>
      </c>
      <c r="V76" s="71" t="s">
        <v>31</v>
      </c>
      <c r="W76" s="71" t="s">
        <v>31</v>
      </c>
      <c r="X76" s="71" t="s">
        <v>31</v>
      </c>
      <c r="Y76" s="71" t="s">
        <v>31</v>
      </c>
      <c r="Z76" s="71" t="s">
        <v>31</v>
      </c>
      <c r="AA76" s="71" t="s">
        <v>31</v>
      </c>
      <c r="AB76" s="71" t="s">
        <v>31</v>
      </c>
      <c r="AC76" s="71" t="s">
        <v>31</v>
      </c>
      <c r="AD76" s="71" t="s">
        <v>31</v>
      </c>
      <c r="AE76" s="71" t="s">
        <v>31</v>
      </c>
      <c r="AF76" s="71" t="s">
        <v>31</v>
      </c>
      <c r="AG76" s="71" t="s">
        <v>31</v>
      </c>
      <c r="AH76" s="71" t="s">
        <v>31</v>
      </c>
      <c r="AI76" s="71" t="s">
        <v>31</v>
      </c>
      <c r="AJ76" s="71" t="s">
        <v>31</v>
      </c>
      <c r="AK76" s="71" t="s">
        <v>31</v>
      </c>
      <c r="AL76" s="72" t="s">
        <v>31</v>
      </c>
      <c r="AM76" s="42"/>
    </row>
    <row r="77" spans="2:38" ht="25.5" customHeight="1" outlineLevel="2">
      <c r="B77" s="47" t="s">
        <v>193</v>
      </c>
      <c r="C77" s="284"/>
      <c r="D77" s="285" t="s">
        <v>432</v>
      </c>
      <c r="E77" s="91">
        <f>309090</f>
        <v>309090</v>
      </c>
      <c r="F77" s="54">
        <f>142329</f>
        <v>142329</v>
      </c>
      <c r="G77" s="54">
        <f>721048</f>
        <v>721048</v>
      </c>
      <c r="H77" s="55">
        <f>661052</f>
        <v>661052</v>
      </c>
      <c r="I77" s="56">
        <f>792531</f>
        <v>792531</v>
      </c>
      <c r="J77" s="57">
        <f>679630</f>
        <v>679630</v>
      </c>
      <c r="K77" s="57">
        <f>140650</f>
        <v>140650</v>
      </c>
      <c r="L77" s="57">
        <f>0</f>
        <v>0</v>
      </c>
      <c r="M77" s="57">
        <f>0</f>
        <v>0</v>
      </c>
      <c r="N77" s="57">
        <f>0</f>
        <v>0</v>
      </c>
      <c r="O77" s="57">
        <f>0</f>
        <v>0</v>
      </c>
      <c r="P77" s="57">
        <f>0</f>
        <v>0</v>
      </c>
      <c r="Q77" s="57">
        <f>0</f>
        <v>0</v>
      </c>
      <c r="R77" s="57">
        <f>0</f>
        <v>0</v>
      </c>
      <c r="S77" s="57">
        <f>0</f>
        <v>0</v>
      </c>
      <c r="T77" s="57">
        <f>0</f>
        <v>0</v>
      </c>
      <c r="U77" s="57">
        <f>0</f>
        <v>0</v>
      </c>
      <c r="V77" s="57">
        <f>0</f>
        <v>0</v>
      </c>
      <c r="W77" s="57">
        <f>0</f>
        <v>0</v>
      </c>
      <c r="X77" s="57">
        <f>0</f>
        <v>0</v>
      </c>
      <c r="Y77" s="57">
        <f>0</f>
        <v>0</v>
      </c>
      <c r="Z77" s="57">
        <f>0</f>
        <v>0</v>
      </c>
      <c r="AA77" s="57">
        <f>0</f>
        <v>0</v>
      </c>
      <c r="AB77" s="57">
        <f>0</f>
        <v>0</v>
      </c>
      <c r="AC77" s="57">
        <f>0</f>
        <v>0</v>
      </c>
      <c r="AD77" s="57">
        <f>0</f>
        <v>0</v>
      </c>
      <c r="AE77" s="57">
        <f>0</f>
        <v>0</v>
      </c>
      <c r="AF77" s="57">
        <f>0</f>
        <v>0</v>
      </c>
      <c r="AG77" s="57">
        <f>0</f>
        <v>0</v>
      </c>
      <c r="AH77" s="57">
        <f>0</f>
        <v>0</v>
      </c>
      <c r="AI77" s="57">
        <f>0</f>
        <v>0</v>
      </c>
      <c r="AJ77" s="57">
        <f>0</f>
        <v>0</v>
      </c>
      <c r="AK77" s="57">
        <f>0</f>
        <v>0</v>
      </c>
      <c r="AL77" s="58">
        <f>0</f>
        <v>0</v>
      </c>
    </row>
    <row r="78" spans="2:38" ht="15" customHeight="1" outlineLevel="3">
      <c r="B78" s="47" t="s">
        <v>123</v>
      </c>
      <c r="C78" s="284"/>
      <c r="D78" s="286" t="s">
        <v>249</v>
      </c>
      <c r="E78" s="91">
        <f>279664</f>
        <v>279664</v>
      </c>
      <c r="F78" s="54">
        <f>135172</f>
        <v>135172</v>
      </c>
      <c r="G78" s="54">
        <f>630445</f>
        <v>630445</v>
      </c>
      <c r="H78" s="55">
        <f>585214</f>
        <v>585214</v>
      </c>
      <c r="I78" s="56">
        <f>680232</f>
        <v>680232</v>
      </c>
      <c r="J78" s="57">
        <f>548683</f>
        <v>548683</v>
      </c>
      <c r="K78" s="57">
        <f>110389</f>
        <v>110389</v>
      </c>
      <c r="L78" s="57">
        <f>0</f>
        <v>0</v>
      </c>
      <c r="M78" s="57">
        <f>0</f>
        <v>0</v>
      </c>
      <c r="N78" s="57">
        <f>0</f>
        <v>0</v>
      </c>
      <c r="O78" s="57">
        <f>0</f>
        <v>0</v>
      </c>
      <c r="P78" s="57">
        <f>0</f>
        <v>0</v>
      </c>
      <c r="Q78" s="57">
        <f>0</f>
        <v>0</v>
      </c>
      <c r="R78" s="57">
        <f>0</f>
        <v>0</v>
      </c>
      <c r="S78" s="57">
        <f>0</f>
        <v>0</v>
      </c>
      <c r="T78" s="57">
        <f>0</f>
        <v>0</v>
      </c>
      <c r="U78" s="57">
        <f>0</f>
        <v>0</v>
      </c>
      <c r="V78" s="57">
        <f>0</f>
        <v>0</v>
      </c>
      <c r="W78" s="57">
        <f>0</f>
        <v>0</v>
      </c>
      <c r="X78" s="57">
        <f>0</f>
        <v>0</v>
      </c>
      <c r="Y78" s="57">
        <f>0</f>
        <v>0</v>
      </c>
      <c r="Z78" s="57">
        <f>0</f>
        <v>0</v>
      </c>
      <c r="AA78" s="57">
        <f>0</f>
        <v>0</v>
      </c>
      <c r="AB78" s="57">
        <f>0</f>
        <v>0</v>
      </c>
      <c r="AC78" s="57">
        <f>0</f>
        <v>0</v>
      </c>
      <c r="AD78" s="57">
        <f>0</f>
        <v>0</v>
      </c>
      <c r="AE78" s="57">
        <f>0</f>
        <v>0</v>
      </c>
      <c r="AF78" s="57">
        <f>0</f>
        <v>0</v>
      </c>
      <c r="AG78" s="57">
        <f>0</f>
        <v>0</v>
      </c>
      <c r="AH78" s="57">
        <f>0</f>
        <v>0</v>
      </c>
      <c r="AI78" s="57">
        <f>0</f>
        <v>0</v>
      </c>
      <c r="AJ78" s="57">
        <f>0</f>
        <v>0</v>
      </c>
      <c r="AK78" s="57">
        <f>0</f>
        <v>0</v>
      </c>
      <c r="AL78" s="58">
        <f>0</f>
        <v>0</v>
      </c>
    </row>
    <row r="79" spans="2:38" ht="25.5" customHeight="1" outlineLevel="3">
      <c r="B79" s="47" t="s">
        <v>125</v>
      </c>
      <c r="C79" s="284"/>
      <c r="D79" s="287" t="s">
        <v>250</v>
      </c>
      <c r="E79" s="91">
        <f>279664</f>
        <v>279664</v>
      </c>
      <c r="F79" s="54">
        <f>135172</f>
        <v>135172</v>
      </c>
      <c r="G79" s="54">
        <f>630445</f>
        <v>630445</v>
      </c>
      <c r="H79" s="55">
        <f>585214</f>
        <v>585214</v>
      </c>
      <c r="I79" s="56">
        <f>398789</f>
        <v>398789</v>
      </c>
      <c r="J79" s="57">
        <f>408</f>
        <v>408</v>
      </c>
      <c r="K79" s="57">
        <f>0</f>
        <v>0</v>
      </c>
      <c r="L79" s="57">
        <f>0</f>
        <v>0</v>
      </c>
      <c r="M79" s="57">
        <f>0</f>
        <v>0</v>
      </c>
      <c r="N79" s="57">
        <f>0</f>
        <v>0</v>
      </c>
      <c r="O79" s="57">
        <f>0</f>
        <v>0</v>
      </c>
      <c r="P79" s="57">
        <f>0</f>
        <v>0</v>
      </c>
      <c r="Q79" s="57">
        <f>0</f>
        <v>0</v>
      </c>
      <c r="R79" s="57">
        <f>0</f>
        <v>0</v>
      </c>
      <c r="S79" s="57">
        <f>0</f>
        <v>0</v>
      </c>
      <c r="T79" s="57">
        <f>0</f>
        <v>0</v>
      </c>
      <c r="U79" s="57">
        <f>0</f>
        <v>0</v>
      </c>
      <c r="V79" s="57">
        <f>0</f>
        <v>0</v>
      </c>
      <c r="W79" s="57">
        <f>0</f>
        <v>0</v>
      </c>
      <c r="X79" s="57">
        <f>0</f>
        <v>0</v>
      </c>
      <c r="Y79" s="57">
        <f>0</f>
        <v>0</v>
      </c>
      <c r="Z79" s="57">
        <f>0</f>
        <v>0</v>
      </c>
      <c r="AA79" s="57">
        <f>0</f>
        <v>0</v>
      </c>
      <c r="AB79" s="57">
        <f>0</f>
        <v>0</v>
      </c>
      <c r="AC79" s="57">
        <f>0</f>
        <v>0</v>
      </c>
      <c r="AD79" s="57">
        <f>0</f>
        <v>0</v>
      </c>
      <c r="AE79" s="57">
        <f>0</f>
        <v>0</v>
      </c>
      <c r="AF79" s="57">
        <f>0</f>
        <v>0</v>
      </c>
      <c r="AG79" s="57">
        <f>0</f>
        <v>0</v>
      </c>
      <c r="AH79" s="57">
        <f>0</f>
        <v>0</v>
      </c>
      <c r="AI79" s="57">
        <f>0</f>
        <v>0</v>
      </c>
      <c r="AJ79" s="57">
        <f>0</f>
        <v>0</v>
      </c>
      <c r="AK79" s="57">
        <f>0</f>
        <v>0</v>
      </c>
      <c r="AL79" s="58">
        <f>0</f>
        <v>0</v>
      </c>
    </row>
    <row r="80" spans="2:38" ht="25.5" customHeight="1" outlineLevel="2">
      <c r="B80" s="47" t="s">
        <v>194</v>
      </c>
      <c r="C80" s="284"/>
      <c r="D80" s="285" t="s">
        <v>433</v>
      </c>
      <c r="E80" s="91">
        <f>9621388</f>
        <v>9621388</v>
      </c>
      <c r="F80" s="54">
        <f>4142285</f>
        <v>4142285</v>
      </c>
      <c r="G80" s="54">
        <f>681787</f>
        <v>681787</v>
      </c>
      <c r="H80" s="55">
        <f>756805</f>
        <v>756805</v>
      </c>
      <c r="I80" s="56">
        <f>256273</f>
        <v>256273</v>
      </c>
      <c r="J80" s="57">
        <f>0</f>
        <v>0</v>
      </c>
      <c r="K80" s="57">
        <f>0</f>
        <v>0</v>
      </c>
      <c r="L80" s="57">
        <f>0</f>
        <v>0</v>
      </c>
      <c r="M80" s="57">
        <f>0</f>
        <v>0</v>
      </c>
      <c r="N80" s="57">
        <f>0</f>
        <v>0</v>
      </c>
      <c r="O80" s="57">
        <f>0</f>
        <v>0</v>
      </c>
      <c r="P80" s="57">
        <f>0</f>
        <v>0</v>
      </c>
      <c r="Q80" s="57">
        <f>0</f>
        <v>0</v>
      </c>
      <c r="R80" s="57">
        <f>0</f>
        <v>0</v>
      </c>
      <c r="S80" s="57">
        <f>0</f>
        <v>0</v>
      </c>
      <c r="T80" s="57">
        <f>0</f>
        <v>0</v>
      </c>
      <c r="U80" s="57">
        <f>0</f>
        <v>0</v>
      </c>
      <c r="V80" s="57">
        <f>0</f>
        <v>0</v>
      </c>
      <c r="W80" s="57">
        <f>0</f>
        <v>0</v>
      </c>
      <c r="X80" s="57">
        <f>0</f>
        <v>0</v>
      </c>
      <c r="Y80" s="57">
        <f>0</f>
        <v>0</v>
      </c>
      <c r="Z80" s="57">
        <f>0</f>
        <v>0</v>
      </c>
      <c r="AA80" s="57">
        <f>0</f>
        <v>0</v>
      </c>
      <c r="AB80" s="57">
        <f>0</f>
        <v>0</v>
      </c>
      <c r="AC80" s="57">
        <f>0</f>
        <v>0</v>
      </c>
      <c r="AD80" s="57">
        <f>0</f>
        <v>0</v>
      </c>
      <c r="AE80" s="57">
        <f>0</f>
        <v>0</v>
      </c>
      <c r="AF80" s="57">
        <f>0</f>
        <v>0</v>
      </c>
      <c r="AG80" s="57">
        <f>0</f>
        <v>0</v>
      </c>
      <c r="AH80" s="57">
        <f>0</f>
        <v>0</v>
      </c>
      <c r="AI80" s="57">
        <f>0</f>
        <v>0</v>
      </c>
      <c r="AJ80" s="57">
        <f>0</f>
        <v>0</v>
      </c>
      <c r="AK80" s="57">
        <f>0</f>
        <v>0</v>
      </c>
      <c r="AL80" s="58">
        <f>0</f>
        <v>0</v>
      </c>
    </row>
    <row r="81" spans="2:38" ht="15" customHeight="1" outlineLevel="3">
      <c r="B81" s="47" t="s">
        <v>128</v>
      </c>
      <c r="C81" s="284"/>
      <c r="D81" s="286" t="s">
        <v>249</v>
      </c>
      <c r="E81" s="91">
        <f>9424210</f>
        <v>9424210</v>
      </c>
      <c r="F81" s="54">
        <f>4096561</f>
        <v>4096561</v>
      </c>
      <c r="G81" s="54">
        <f>681787</f>
        <v>681787</v>
      </c>
      <c r="H81" s="55">
        <f>756805</f>
        <v>756805</v>
      </c>
      <c r="I81" s="56">
        <f>179391</f>
        <v>179391</v>
      </c>
      <c r="J81" s="57">
        <f>0</f>
        <v>0</v>
      </c>
      <c r="K81" s="57">
        <f>0</f>
        <v>0</v>
      </c>
      <c r="L81" s="57">
        <f>0</f>
        <v>0</v>
      </c>
      <c r="M81" s="57">
        <f>0</f>
        <v>0</v>
      </c>
      <c r="N81" s="57">
        <f>0</f>
        <v>0</v>
      </c>
      <c r="O81" s="57">
        <f>0</f>
        <v>0</v>
      </c>
      <c r="P81" s="57">
        <f>0</f>
        <v>0</v>
      </c>
      <c r="Q81" s="57">
        <f>0</f>
        <v>0</v>
      </c>
      <c r="R81" s="57">
        <f>0</f>
        <v>0</v>
      </c>
      <c r="S81" s="57">
        <f>0</f>
        <v>0</v>
      </c>
      <c r="T81" s="57">
        <f>0</f>
        <v>0</v>
      </c>
      <c r="U81" s="57">
        <f>0</f>
        <v>0</v>
      </c>
      <c r="V81" s="57">
        <f>0</f>
        <v>0</v>
      </c>
      <c r="W81" s="57">
        <f>0</f>
        <v>0</v>
      </c>
      <c r="X81" s="57">
        <f>0</f>
        <v>0</v>
      </c>
      <c r="Y81" s="57">
        <f>0</f>
        <v>0</v>
      </c>
      <c r="Z81" s="57">
        <f>0</f>
        <v>0</v>
      </c>
      <c r="AA81" s="57">
        <f>0</f>
        <v>0</v>
      </c>
      <c r="AB81" s="57">
        <f>0</f>
        <v>0</v>
      </c>
      <c r="AC81" s="57">
        <f>0</f>
        <v>0</v>
      </c>
      <c r="AD81" s="57">
        <f>0</f>
        <v>0</v>
      </c>
      <c r="AE81" s="57">
        <f>0</f>
        <v>0</v>
      </c>
      <c r="AF81" s="57">
        <f>0</f>
        <v>0</v>
      </c>
      <c r="AG81" s="57">
        <f>0</f>
        <v>0</v>
      </c>
      <c r="AH81" s="57">
        <f>0</f>
        <v>0</v>
      </c>
      <c r="AI81" s="57">
        <f>0</f>
        <v>0</v>
      </c>
      <c r="AJ81" s="57">
        <f>0</f>
        <v>0</v>
      </c>
      <c r="AK81" s="57">
        <f>0</f>
        <v>0</v>
      </c>
      <c r="AL81" s="58">
        <f>0</f>
        <v>0</v>
      </c>
    </row>
    <row r="82" spans="2:38" ht="25.5" customHeight="1" outlineLevel="3">
      <c r="B82" s="47" t="s">
        <v>130</v>
      </c>
      <c r="C82" s="284"/>
      <c r="D82" s="287" t="s">
        <v>250</v>
      </c>
      <c r="E82" s="91">
        <f>9424210</f>
        <v>9424210</v>
      </c>
      <c r="F82" s="54">
        <f>4096561</f>
        <v>4096561</v>
      </c>
      <c r="G82" s="54">
        <f>681787</f>
        <v>681787</v>
      </c>
      <c r="H82" s="55">
        <f>756805</f>
        <v>756805</v>
      </c>
      <c r="I82" s="56">
        <f>179391</f>
        <v>179391</v>
      </c>
      <c r="J82" s="57">
        <f>0</f>
        <v>0</v>
      </c>
      <c r="K82" s="57">
        <f>0</f>
        <v>0</v>
      </c>
      <c r="L82" s="57">
        <f>0</f>
        <v>0</v>
      </c>
      <c r="M82" s="57">
        <f>0</f>
        <v>0</v>
      </c>
      <c r="N82" s="57">
        <f>0</f>
        <v>0</v>
      </c>
      <c r="O82" s="57">
        <f>0</f>
        <v>0</v>
      </c>
      <c r="P82" s="57">
        <f>0</f>
        <v>0</v>
      </c>
      <c r="Q82" s="57">
        <f>0</f>
        <v>0</v>
      </c>
      <c r="R82" s="57">
        <f>0</f>
        <v>0</v>
      </c>
      <c r="S82" s="57">
        <f>0</f>
        <v>0</v>
      </c>
      <c r="T82" s="57">
        <f>0</f>
        <v>0</v>
      </c>
      <c r="U82" s="57">
        <f>0</f>
        <v>0</v>
      </c>
      <c r="V82" s="57">
        <f>0</f>
        <v>0</v>
      </c>
      <c r="W82" s="57">
        <f>0</f>
        <v>0</v>
      </c>
      <c r="X82" s="57">
        <f>0</f>
        <v>0</v>
      </c>
      <c r="Y82" s="57">
        <f>0</f>
        <v>0</v>
      </c>
      <c r="Z82" s="57">
        <f>0</f>
        <v>0</v>
      </c>
      <c r="AA82" s="57">
        <f>0</f>
        <v>0</v>
      </c>
      <c r="AB82" s="57">
        <f>0</f>
        <v>0</v>
      </c>
      <c r="AC82" s="57">
        <f>0</f>
        <v>0</v>
      </c>
      <c r="AD82" s="57">
        <f>0</f>
        <v>0</v>
      </c>
      <c r="AE82" s="57">
        <f>0</f>
        <v>0</v>
      </c>
      <c r="AF82" s="57">
        <f>0</f>
        <v>0</v>
      </c>
      <c r="AG82" s="57">
        <f>0</f>
        <v>0</v>
      </c>
      <c r="AH82" s="57">
        <f>0</f>
        <v>0</v>
      </c>
      <c r="AI82" s="57">
        <f>0</f>
        <v>0</v>
      </c>
      <c r="AJ82" s="57">
        <f>0</f>
        <v>0</v>
      </c>
      <c r="AK82" s="57">
        <f>0</f>
        <v>0</v>
      </c>
      <c r="AL82" s="58">
        <f>0</f>
        <v>0</v>
      </c>
    </row>
    <row r="83" spans="2:38" ht="25.5" customHeight="1" outlineLevel="2">
      <c r="B83" s="47" t="s">
        <v>195</v>
      </c>
      <c r="C83" s="284"/>
      <c r="D83" s="285" t="s">
        <v>251</v>
      </c>
      <c r="E83" s="91">
        <f>309090</f>
        <v>309090</v>
      </c>
      <c r="F83" s="54">
        <f>184280</f>
        <v>184280</v>
      </c>
      <c r="G83" s="54">
        <f>741005</f>
        <v>741005</v>
      </c>
      <c r="H83" s="55">
        <f>606846</f>
        <v>606846</v>
      </c>
      <c r="I83" s="56">
        <f>792531</f>
        <v>792531</v>
      </c>
      <c r="J83" s="57">
        <f>679630</f>
        <v>679630</v>
      </c>
      <c r="K83" s="57">
        <f>140650</f>
        <v>140650</v>
      </c>
      <c r="L83" s="57">
        <f>0</f>
        <v>0</v>
      </c>
      <c r="M83" s="57">
        <f>0</f>
        <v>0</v>
      </c>
      <c r="N83" s="57">
        <f>0</f>
        <v>0</v>
      </c>
      <c r="O83" s="57">
        <f>0</f>
        <v>0</v>
      </c>
      <c r="P83" s="57">
        <f>0</f>
        <v>0</v>
      </c>
      <c r="Q83" s="57">
        <f>0</f>
        <v>0</v>
      </c>
      <c r="R83" s="57">
        <f>0</f>
        <v>0</v>
      </c>
      <c r="S83" s="57">
        <f>0</f>
        <v>0</v>
      </c>
      <c r="T83" s="57">
        <f>0</f>
        <v>0</v>
      </c>
      <c r="U83" s="57">
        <f>0</f>
        <v>0</v>
      </c>
      <c r="V83" s="57">
        <f>0</f>
        <v>0</v>
      </c>
      <c r="W83" s="57">
        <f>0</f>
        <v>0</v>
      </c>
      <c r="X83" s="57">
        <f>0</f>
        <v>0</v>
      </c>
      <c r="Y83" s="57">
        <f>0</f>
        <v>0</v>
      </c>
      <c r="Z83" s="57">
        <f>0</f>
        <v>0</v>
      </c>
      <c r="AA83" s="57">
        <f>0</f>
        <v>0</v>
      </c>
      <c r="AB83" s="57">
        <f>0</f>
        <v>0</v>
      </c>
      <c r="AC83" s="57">
        <f>0</f>
        <v>0</v>
      </c>
      <c r="AD83" s="57">
        <f>0</f>
        <v>0</v>
      </c>
      <c r="AE83" s="57">
        <f>0</f>
        <v>0</v>
      </c>
      <c r="AF83" s="57">
        <f>0</f>
        <v>0</v>
      </c>
      <c r="AG83" s="57">
        <f>0</f>
        <v>0</v>
      </c>
      <c r="AH83" s="57">
        <f>0</f>
        <v>0</v>
      </c>
      <c r="AI83" s="57">
        <f>0</f>
        <v>0</v>
      </c>
      <c r="AJ83" s="57">
        <f>0</f>
        <v>0</v>
      </c>
      <c r="AK83" s="57">
        <f>0</f>
        <v>0</v>
      </c>
      <c r="AL83" s="58">
        <f>0</f>
        <v>0</v>
      </c>
    </row>
    <row r="84" spans="2:38" ht="15" customHeight="1" outlineLevel="3">
      <c r="B84" s="47" t="s">
        <v>133</v>
      </c>
      <c r="C84" s="284"/>
      <c r="D84" s="286" t="s">
        <v>253</v>
      </c>
      <c r="E84" s="91">
        <f>279664</f>
        <v>279664</v>
      </c>
      <c r="F84" s="54">
        <f>177123</f>
        <v>177123</v>
      </c>
      <c r="G84" s="54">
        <f>650400</f>
        <v>650400</v>
      </c>
      <c r="H84" s="55">
        <f>531009</f>
        <v>531009</v>
      </c>
      <c r="I84" s="56">
        <f>680232</f>
        <v>680232</v>
      </c>
      <c r="J84" s="57">
        <f>548683</f>
        <v>548683</v>
      </c>
      <c r="K84" s="57">
        <f>110389</f>
        <v>110389</v>
      </c>
      <c r="L84" s="57">
        <f>0</f>
        <v>0</v>
      </c>
      <c r="M84" s="57">
        <f>0</f>
        <v>0</v>
      </c>
      <c r="N84" s="57">
        <f>0</f>
        <v>0</v>
      </c>
      <c r="O84" s="57">
        <f>0</f>
        <v>0</v>
      </c>
      <c r="P84" s="57">
        <f>0</f>
        <v>0</v>
      </c>
      <c r="Q84" s="57">
        <f>0</f>
        <v>0</v>
      </c>
      <c r="R84" s="57">
        <f>0</f>
        <v>0</v>
      </c>
      <c r="S84" s="57">
        <f>0</f>
        <v>0</v>
      </c>
      <c r="T84" s="57">
        <f>0</f>
        <v>0</v>
      </c>
      <c r="U84" s="57">
        <f>0</f>
        <v>0</v>
      </c>
      <c r="V84" s="57">
        <f>0</f>
        <v>0</v>
      </c>
      <c r="W84" s="57">
        <f>0</f>
        <v>0</v>
      </c>
      <c r="X84" s="57">
        <f>0</f>
        <v>0</v>
      </c>
      <c r="Y84" s="57">
        <f>0</f>
        <v>0</v>
      </c>
      <c r="Z84" s="57">
        <f>0</f>
        <v>0</v>
      </c>
      <c r="AA84" s="57">
        <f>0</f>
        <v>0</v>
      </c>
      <c r="AB84" s="57">
        <f>0</f>
        <v>0</v>
      </c>
      <c r="AC84" s="57">
        <f>0</f>
        <v>0</v>
      </c>
      <c r="AD84" s="57">
        <f>0</f>
        <v>0</v>
      </c>
      <c r="AE84" s="57">
        <f>0</f>
        <v>0</v>
      </c>
      <c r="AF84" s="57">
        <f>0</f>
        <v>0</v>
      </c>
      <c r="AG84" s="57">
        <f>0</f>
        <v>0</v>
      </c>
      <c r="AH84" s="57">
        <f>0</f>
        <v>0</v>
      </c>
      <c r="AI84" s="57">
        <f>0</f>
        <v>0</v>
      </c>
      <c r="AJ84" s="57">
        <f>0</f>
        <v>0</v>
      </c>
      <c r="AK84" s="57">
        <f>0</f>
        <v>0</v>
      </c>
      <c r="AL84" s="58">
        <f>0</f>
        <v>0</v>
      </c>
    </row>
    <row r="85" spans="2:38" ht="25.5" customHeight="1" outlineLevel="3">
      <c r="B85" s="47" t="s">
        <v>135</v>
      </c>
      <c r="C85" s="284"/>
      <c r="D85" s="286" t="s">
        <v>252</v>
      </c>
      <c r="E85" s="91">
        <f>279644</f>
        <v>279644</v>
      </c>
      <c r="F85" s="54">
        <f>135172</f>
        <v>135172</v>
      </c>
      <c r="G85" s="54">
        <f>650400</f>
        <v>650400</v>
      </c>
      <c r="H85" s="55">
        <f>531009</f>
        <v>531009</v>
      </c>
      <c r="I85" s="56">
        <f>456081</f>
        <v>456081</v>
      </c>
      <c r="J85" s="57">
        <f>480</f>
        <v>480</v>
      </c>
      <c r="K85" s="57">
        <f>0</f>
        <v>0</v>
      </c>
      <c r="L85" s="57">
        <f>0</f>
        <v>0</v>
      </c>
      <c r="M85" s="57">
        <f>0</f>
        <v>0</v>
      </c>
      <c r="N85" s="57">
        <f>0</f>
        <v>0</v>
      </c>
      <c r="O85" s="57">
        <f>0</f>
        <v>0</v>
      </c>
      <c r="P85" s="57">
        <f>0</f>
        <v>0</v>
      </c>
      <c r="Q85" s="57">
        <f>0</f>
        <v>0</v>
      </c>
      <c r="R85" s="57">
        <f>0</f>
        <v>0</v>
      </c>
      <c r="S85" s="57">
        <f>0</f>
        <v>0</v>
      </c>
      <c r="T85" s="57">
        <f>0</f>
        <v>0</v>
      </c>
      <c r="U85" s="57">
        <f>0</f>
        <v>0</v>
      </c>
      <c r="V85" s="57">
        <f>0</f>
        <v>0</v>
      </c>
      <c r="W85" s="57">
        <f>0</f>
        <v>0</v>
      </c>
      <c r="X85" s="57">
        <f>0</f>
        <v>0</v>
      </c>
      <c r="Y85" s="57">
        <f>0</f>
        <v>0</v>
      </c>
      <c r="Z85" s="57">
        <f>0</f>
        <v>0</v>
      </c>
      <c r="AA85" s="57">
        <f>0</f>
        <v>0</v>
      </c>
      <c r="AB85" s="57">
        <f>0</f>
        <v>0</v>
      </c>
      <c r="AC85" s="57">
        <f>0</f>
        <v>0</v>
      </c>
      <c r="AD85" s="57">
        <f>0</f>
        <v>0</v>
      </c>
      <c r="AE85" s="57">
        <f>0</f>
        <v>0</v>
      </c>
      <c r="AF85" s="57">
        <f>0</f>
        <v>0</v>
      </c>
      <c r="AG85" s="57">
        <f>0</f>
        <v>0</v>
      </c>
      <c r="AH85" s="57">
        <f>0</f>
        <v>0</v>
      </c>
      <c r="AI85" s="57">
        <f>0</f>
        <v>0</v>
      </c>
      <c r="AJ85" s="57">
        <f>0</f>
        <v>0</v>
      </c>
      <c r="AK85" s="57">
        <f>0</f>
        <v>0</v>
      </c>
      <c r="AL85" s="58">
        <f>0</f>
        <v>0</v>
      </c>
    </row>
    <row r="86" spans="2:38" ht="25.5" customHeight="1" outlineLevel="2">
      <c r="B86" s="47" t="s">
        <v>196</v>
      </c>
      <c r="C86" s="284"/>
      <c r="D86" s="285" t="s">
        <v>254</v>
      </c>
      <c r="E86" s="91">
        <f>6452498</f>
        <v>6452498</v>
      </c>
      <c r="F86" s="54">
        <f>4142285</f>
        <v>4142285</v>
      </c>
      <c r="G86" s="54">
        <f>518899</f>
        <v>518899</v>
      </c>
      <c r="H86" s="55">
        <f>502864</f>
        <v>502864</v>
      </c>
      <c r="I86" s="56">
        <f>256273</f>
        <v>256273</v>
      </c>
      <c r="J86" s="57">
        <f>0</f>
        <v>0</v>
      </c>
      <c r="K86" s="57">
        <f>0</f>
        <v>0</v>
      </c>
      <c r="L86" s="57">
        <f>0</f>
        <v>0</v>
      </c>
      <c r="M86" s="57">
        <f>0</f>
        <v>0</v>
      </c>
      <c r="N86" s="57">
        <f>0</f>
        <v>0</v>
      </c>
      <c r="O86" s="57">
        <f>0</f>
        <v>0</v>
      </c>
      <c r="P86" s="57">
        <f>0</f>
        <v>0</v>
      </c>
      <c r="Q86" s="57">
        <f>0</f>
        <v>0</v>
      </c>
      <c r="R86" s="57">
        <f>0</f>
        <v>0</v>
      </c>
      <c r="S86" s="57">
        <f>0</f>
        <v>0</v>
      </c>
      <c r="T86" s="57">
        <f>0</f>
        <v>0</v>
      </c>
      <c r="U86" s="57">
        <f>0</f>
        <v>0</v>
      </c>
      <c r="V86" s="57">
        <f>0</f>
        <v>0</v>
      </c>
      <c r="W86" s="57">
        <f>0</f>
        <v>0</v>
      </c>
      <c r="X86" s="57">
        <f>0</f>
        <v>0</v>
      </c>
      <c r="Y86" s="57">
        <f>0</f>
        <v>0</v>
      </c>
      <c r="Z86" s="57">
        <f>0</f>
        <v>0</v>
      </c>
      <c r="AA86" s="57">
        <f>0</f>
        <v>0</v>
      </c>
      <c r="AB86" s="57">
        <f>0</f>
        <v>0</v>
      </c>
      <c r="AC86" s="57">
        <f>0</f>
        <v>0</v>
      </c>
      <c r="AD86" s="57">
        <f>0</f>
        <v>0</v>
      </c>
      <c r="AE86" s="57">
        <f>0</f>
        <v>0</v>
      </c>
      <c r="AF86" s="57">
        <f>0</f>
        <v>0</v>
      </c>
      <c r="AG86" s="57">
        <f>0</f>
        <v>0</v>
      </c>
      <c r="AH86" s="57">
        <f>0</f>
        <v>0</v>
      </c>
      <c r="AI86" s="57">
        <f>0</f>
        <v>0</v>
      </c>
      <c r="AJ86" s="57">
        <f>0</f>
        <v>0</v>
      </c>
      <c r="AK86" s="57">
        <f>0</f>
        <v>0</v>
      </c>
      <c r="AL86" s="58">
        <f>0</f>
        <v>0</v>
      </c>
    </row>
    <row r="87" spans="2:38" ht="15" customHeight="1" outlineLevel="3">
      <c r="B87" s="47" t="s">
        <v>138</v>
      </c>
      <c r="C87" s="284"/>
      <c r="D87" s="286" t="s">
        <v>255</v>
      </c>
      <c r="E87" s="91">
        <f>5772827</f>
        <v>5772827</v>
      </c>
      <c r="F87" s="54">
        <f>3407752</f>
        <v>3407752</v>
      </c>
      <c r="G87" s="54">
        <f>518899</f>
        <v>518899</v>
      </c>
      <c r="H87" s="55">
        <f>502864</f>
        <v>502864</v>
      </c>
      <c r="I87" s="56">
        <f>179391</f>
        <v>179391</v>
      </c>
      <c r="J87" s="57">
        <f>0</f>
        <v>0</v>
      </c>
      <c r="K87" s="57">
        <f>0</f>
        <v>0</v>
      </c>
      <c r="L87" s="57">
        <f>0</f>
        <v>0</v>
      </c>
      <c r="M87" s="57">
        <f>0</f>
        <v>0</v>
      </c>
      <c r="N87" s="57">
        <f>0</f>
        <v>0</v>
      </c>
      <c r="O87" s="57">
        <f>0</f>
        <v>0</v>
      </c>
      <c r="P87" s="57">
        <f>0</f>
        <v>0</v>
      </c>
      <c r="Q87" s="57">
        <f>0</f>
        <v>0</v>
      </c>
      <c r="R87" s="57">
        <f>0</f>
        <v>0</v>
      </c>
      <c r="S87" s="57">
        <f>0</f>
        <v>0</v>
      </c>
      <c r="T87" s="57">
        <f>0</f>
        <v>0</v>
      </c>
      <c r="U87" s="57">
        <f>0</f>
        <v>0</v>
      </c>
      <c r="V87" s="57">
        <f>0</f>
        <v>0</v>
      </c>
      <c r="W87" s="57">
        <f>0</f>
        <v>0</v>
      </c>
      <c r="X87" s="57">
        <f>0</f>
        <v>0</v>
      </c>
      <c r="Y87" s="57">
        <f>0</f>
        <v>0</v>
      </c>
      <c r="Z87" s="57">
        <f>0</f>
        <v>0</v>
      </c>
      <c r="AA87" s="57">
        <f>0</f>
        <v>0</v>
      </c>
      <c r="AB87" s="57">
        <f>0</f>
        <v>0</v>
      </c>
      <c r="AC87" s="57">
        <f>0</f>
        <v>0</v>
      </c>
      <c r="AD87" s="57">
        <f>0</f>
        <v>0</v>
      </c>
      <c r="AE87" s="57">
        <f>0</f>
        <v>0</v>
      </c>
      <c r="AF87" s="57">
        <f>0</f>
        <v>0</v>
      </c>
      <c r="AG87" s="57">
        <f>0</f>
        <v>0</v>
      </c>
      <c r="AH87" s="57">
        <f>0</f>
        <v>0</v>
      </c>
      <c r="AI87" s="57">
        <f>0</f>
        <v>0</v>
      </c>
      <c r="AJ87" s="57">
        <f>0</f>
        <v>0</v>
      </c>
      <c r="AK87" s="57">
        <f>0</f>
        <v>0</v>
      </c>
      <c r="AL87" s="58">
        <f>0</f>
        <v>0</v>
      </c>
    </row>
    <row r="88" spans="2:38" ht="25.5" customHeight="1" outlineLevel="3">
      <c r="B88" s="47" t="s">
        <v>140</v>
      </c>
      <c r="C88" s="284"/>
      <c r="D88" s="286" t="s">
        <v>256</v>
      </c>
      <c r="E88" s="91">
        <f>5772827</f>
        <v>5772827</v>
      </c>
      <c r="F88" s="54">
        <f>3175776</f>
        <v>3175776</v>
      </c>
      <c r="G88" s="54">
        <f>518899</f>
        <v>518899</v>
      </c>
      <c r="H88" s="55">
        <f>502864</f>
        <v>502864</v>
      </c>
      <c r="I88" s="56">
        <f>256273</f>
        <v>256273</v>
      </c>
      <c r="J88" s="57">
        <f>0</f>
        <v>0</v>
      </c>
      <c r="K88" s="57">
        <f>0</f>
        <v>0</v>
      </c>
      <c r="L88" s="57">
        <f>0</f>
        <v>0</v>
      </c>
      <c r="M88" s="57">
        <f>0</f>
        <v>0</v>
      </c>
      <c r="N88" s="57">
        <f>0</f>
        <v>0</v>
      </c>
      <c r="O88" s="57">
        <f>0</f>
        <v>0</v>
      </c>
      <c r="P88" s="57">
        <f>0</f>
        <v>0</v>
      </c>
      <c r="Q88" s="57">
        <f>0</f>
        <v>0</v>
      </c>
      <c r="R88" s="57">
        <f>0</f>
        <v>0</v>
      </c>
      <c r="S88" s="57">
        <f>0</f>
        <v>0</v>
      </c>
      <c r="T88" s="57">
        <f>0</f>
        <v>0</v>
      </c>
      <c r="U88" s="57">
        <f>0</f>
        <v>0</v>
      </c>
      <c r="V88" s="57">
        <f>0</f>
        <v>0</v>
      </c>
      <c r="W88" s="57">
        <f>0</f>
        <v>0</v>
      </c>
      <c r="X88" s="57">
        <f>0</f>
        <v>0</v>
      </c>
      <c r="Y88" s="57">
        <f>0</f>
        <v>0</v>
      </c>
      <c r="Z88" s="57">
        <f>0</f>
        <v>0</v>
      </c>
      <c r="AA88" s="57">
        <f>0</f>
        <v>0</v>
      </c>
      <c r="AB88" s="57">
        <f>0</f>
        <v>0</v>
      </c>
      <c r="AC88" s="57">
        <f>0</f>
        <v>0</v>
      </c>
      <c r="AD88" s="57">
        <f>0</f>
        <v>0</v>
      </c>
      <c r="AE88" s="57">
        <f>0</f>
        <v>0</v>
      </c>
      <c r="AF88" s="57">
        <f>0</f>
        <v>0</v>
      </c>
      <c r="AG88" s="57">
        <f>0</f>
        <v>0</v>
      </c>
      <c r="AH88" s="57">
        <f>0</f>
        <v>0</v>
      </c>
      <c r="AI88" s="57">
        <f>0</f>
        <v>0</v>
      </c>
      <c r="AJ88" s="57">
        <f>0</f>
        <v>0</v>
      </c>
      <c r="AK88" s="57">
        <f>0</f>
        <v>0</v>
      </c>
      <c r="AL88" s="58">
        <f>0</f>
        <v>0</v>
      </c>
    </row>
    <row r="89" spans="2:39" ht="25.5" customHeight="1" outlineLevel="1">
      <c r="B89" s="46">
        <v>13</v>
      </c>
      <c r="C89" s="299"/>
      <c r="D89" s="282" t="s">
        <v>142</v>
      </c>
      <c r="E89" s="94" t="s">
        <v>31</v>
      </c>
      <c r="F89" s="68" t="s">
        <v>31</v>
      </c>
      <c r="G89" s="68" t="s">
        <v>31</v>
      </c>
      <c r="H89" s="69" t="s">
        <v>31</v>
      </c>
      <c r="I89" s="70" t="s">
        <v>31</v>
      </c>
      <c r="J89" s="71" t="s">
        <v>31</v>
      </c>
      <c r="K89" s="71" t="s">
        <v>31</v>
      </c>
      <c r="L89" s="71" t="s">
        <v>31</v>
      </c>
      <c r="M89" s="71" t="s">
        <v>31</v>
      </c>
      <c r="N89" s="71" t="s">
        <v>31</v>
      </c>
      <c r="O89" s="71" t="s">
        <v>31</v>
      </c>
      <c r="P89" s="71" t="s">
        <v>31</v>
      </c>
      <c r="Q89" s="71" t="s">
        <v>31</v>
      </c>
      <c r="R89" s="71" t="s">
        <v>31</v>
      </c>
      <c r="S89" s="71" t="s">
        <v>31</v>
      </c>
      <c r="T89" s="71" t="s">
        <v>31</v>
      </c>
      <c r="U89" s="71" t="s">
        <v>31</v>
      </c>
      <c r="V89" s="71" t="s">
        <v>31</v>
      </c>
      <c r="W89" s="71" t="s">
        <v>31</v>
      </c>
      <c r="X89" s="71" t="s">
        <v>31</v>
      </c>
      <c r="Y89" s="71" t="s">
        <v>31</v>
      </c>
      <c r="Z89" s="71" t="s">
        <v>31</v>
      </c>
      <c r="AA89" s="71" t="s">
        <v>31</v>
      </c>
      <c r="AB89" s="71" t="s">
        <v>31</v>
      </c>
      <c r="AC89" s="71" t="s">
        <v>31</v>
      </c>
      <c r="AD89" s="71" t="s">
        <v>31</v>
      </c>
      <c r="AE89" s="71" t="s">
        <v>31</v>
      </c>
      <c r="AF89" s="71" t="s">
        <v>31</v>
      </c>
      <c r="AG89" s="71" t="s">
        <v>31</v>
      </c>
      <c r="AH89" s="71" t="s">
        <v>31</v>
      </c>
      <c r="AI89" s="71" t="s">
        <v>31</v>
      </c>
      <c r="AJ89" s="71" t="s">
        <v>31</v>
      </c>
      <c r="AK89" s="71" t="s">
        <v>31</v>
      </c>
      <c r="AL89" s="72" t="s">
        <v>31</v>
      </c>
      <c r="AM89" s="42"/>
    </row>
    <row r="90" spans="2:38" ht="25.5" customHeight="1" outlineLevel="2">
      <c r="B90" s="47" t="s">
        <v>197</v>
      </c>
      <c r="C90" s="284"/>
      <c r="D90" s="285" t="s">
        <v>257</v>
      </c>
      <c r="E90" s="91">
        <f>0</f>
        <v>0</v>
      </c>
      <c r="F90" s="54">
        <f>0</f>
        <v>0</v>
      </c>
      <c r="G90" s="54">
        <f>0</f>
        <v>0</v>
      </c>
      <c r="H90" s="55">
        <f>0</f>
        <v>0</v>
      </c>
      <c r="I90" s="56">
        <f>0</f>
        <v>0</v>
      </c>
      <c r="J90" s="57">
        <f>0</f>
        <v>0</v>
      </c>
      <c r="K90" s="57">
        <f>0</f>
        <v>0</v>
      </c>
      <c r="L90" s="57">
        <f>0</f>
        <v>0</v>
      </c>
      <c r="M90" s="57">
        <f>0</f>
        <v>0</v>
      </c>
      <c r="N90" s="57">
        <f>0</f>
        <v>0</v>
      </c>
      <c r="O90" s="57">
        <f>0</f>
        <v>0</v>
      </c>
      <c r="P90" s="57">
        <f>0</f>
        <v>0</v>
      </c>
      <c r="Q90" s="57">
        <f>0</f>
        <v>0</v>
      </c>
      <c r="R90" s="57">
        <f>0</f>
        <v>0</v>
      </c>
      <c r="S90" s="57">
        <f>0</f>
        <v>0</v>
      </c>
      <c r="T90" s="57">
        <f>0</f>
        <v>0</v>
      </c>
      <c r="U90" s="57">
        <f>0</f>
        <v>0</v>
      </c>
      <c r="V90" s="57">
        <f>0</f>
        <v>0</v>
      </c>
      <c r="W90" s="57">
        <f>0</f>
        <v>0</v>
      </c>
      <c r="X90" s="57">
        <f>0</f>
        <v>0</v>
      </c>
      <c r="Y90" s="57">
        <f>0</f>
        <v>0</v>
      </c>
      <c r="Z90" s="57">
        <f>0</f>
        <v>0</v>
      </c>
      <c r="AA90" s="57">
        <f>0</f>
        <v>0</v>
      </c>
      <c r="AB90" s="57">
        <f>0</f>
        <v>0</v>
      </c>
      <c r="AC90" s="57">
        <f>0</f>
        <v>0</v>
      </c>
      <c r="AD90" s="57">
        <f>0</f>
        <v>0</v>
      </c>
      <c r="AE90" s="57">
        <f>0</f>
        <v>0</v>
      </c>
      <c r="AF90" s="57">
        <f>0</f>
        <v>0</v>
      </c>
      <c r="AG90" s="57">
        <f>0</f>
        <v>0</v>
      </c>
      <c r="AH90" s="57">
        <f>0</f>
        <v>0</v>
      </c>
      <c r="AI90" s="57">
        <f>0</f>
        <v>0</v>
      </c>
      <c r="AJ90" s="57">
        <f>0</f>
        <v>0</v>
      </c>
      <c r="AK90" s="57">
        <f>0</f>
        <v>0</v>
      </c>
      <c r="AL90" s="58">
        <f>0</f>
        <v>0</v>
      </c>
    </row>
    <row r="91" spans="2:38" ht="25.5" customHeight="1" outlineLevel="2">
      <c r="B91" s="47" t="s">
        <v>198</v>
      </c>
      <c r="C91" s="284"/>
      <c r="D91" s="285" t="s">
        <v>434</v>
      </c>
      <c r="E91" s="91">
        <f>0</f>
        <v>0</v>
      </c>
      <c r="F91" s="54">
        <f>0</f>
        <v>0</v>
      </c>
      <c r="G91" s="54">
        <f>0</f>
        <v>0</v>
      </c>
      <c r="H91" s="55">
        <f>0</f>
        <v>0</v>
      </c>
      <c r="I91" s="56">
        <f>0</f>
        <v>0</v>
      </c>
      <c r="J91" s="57">
        <f>0</f>
        <v>0</v>
      </c>
      <c r="K91" s="57">
        <f>0</f>
        <v>0</v>
      </c>
      <c r="L91" s="57">
        <f>0</f>
        <v>0</v>
      </c>
      <c r="M91" s="57">
        <f>0</f>
        <v>0</v>
      </c>
      <c r="N91" s="57">
        <f>0</f>
        <v>0</v>
      </c>
      <c r="O91" s="57">
        <f>0</f>
        <v>0</v>
      </c>
      <c r="P91" s="57">
        <f>0</f>
        <v>0</v>
      </c>
      <c r="Q91" s="57">
        <f>0</f>
        <v>0</v>
      </c>
      <c r="R91" s="57">
        <f>0</f>
        <v>0</v>
      </c>
      <c r="S91" s="57">
        <f>0</f>
        <v>0</v>
      </c>
      <c r="T91" s="57">
        <f>0</f>
        <v>0</v>
      </c>
      <c r="U91" s="57">
        <f>0</f>
        <v>0</v>
      </c>
      <c r="V91" s="57">
        <f>0</f>
        <v>0</v>
      </c>
      <c r="W91" s="57">
        <f>0</f>
        <v>0</v>
      </c>
      <c r="X91" s="57">
        <f>0</f>
        <v>0</v>
      </c>
      <c r="Y91" s="57">
        <f>0</f>
        <v>0</v>
      </c>
      <c r="Z91" s="57">
        <f>0</f>
        <v>0</v>
      </c>
      <c r="AA91" s="57">
        <f>0</f>
        <v>0</v>
      </c>
      <c r="AB91" s="57">
        <f>0</f>
        <v>0</v>
      </c>
      <c r="AC91" s="57">
        <f>0</f>
        <v>0</v>
      </c>
      <c r="AD91" s="57">
        <f>0</f>
        <v>0</v>
      </c>
      <c r="AE91" s="57">
        <f>0</f>
        <v>0</v>
      </c>
      <c r="AF91" s="57">
        <f>0</f>
        <v>0</v>
      </c>
      <c r="AG91" s="57">
        <f>0</f>
        <v>0</v>
      </c>
      <c r="AH91" s="57">
        <f>0</f>
        <v>0</v>
      </c>
      <c r="AI91" s="57">
        <f>0</f>
        <v>0</v>
      </c>
      <c r="AJ91" s="57">
        <f>0</f>
        <v>0</v>
      </c>
      <c r="AK91" s="57">
        <f>0</f>
        <v>0</v>
      </c>
      <c r="AL91" s="58">
        <f>0</f>
        <v>0</v>
      </c>
    </row>
    <row r="92" spans="2:38" ht="25.5" customHeight="1" outlineLevel="2">
      <c r="B92" s="47" t="s">
        <v>199</v>
      </c>
      <c r="C92" s="284"/>
      <c r="D92" s="285" t="s">
        <v>258</v>
      </c>
      <c r="E92" s="91">
        <f>0</f>
        <v>0</v>
      </c>
      <c r="F92" s="54">
        <f>0</f>
        <v>0</v>
      </c>
      <c r="G92" s="54">
        <f>0</f>
        <v>0</v>
      </c>
      <c r="H92" s="55">
        <f>0</f>
        <v>0</v>
      </c>
      <c r="I92" s="56">
        <f>0</f>
        <v>0</v>
      </c>
      <c r="J92" s="57">
        <f>0</f>
        <v>0</v>
      </c>
      <c r="K92" s="57">
        <f>0</f>
        <v>0</v>
      </c>
      <c r="L92" s="57">
        <f>0</f>
        <v>0</v>
      </c>
      <c r="M92" s="57">
        <f>0</f>
        <v>0</v>
      </c>
      <c r="N92" s="57">
        <f>0</f>
        <v>0</v>
      </c>
      <c r="O92" s="57">
        <f>0</f>
        <v>0</v>
      </c>
      <c r="P92" s="57">
        <f>0</f>
        <v>0</v>
      </c>
      <c r="Q92" s="57">
        <f>0</f>
        <v>0</v>
      </c>
      <c r="R92" s="57">
        <f>0</f>
        <v>0</v>
      </c>
      <c r="S92" s="57">
        <f>0</f>
        <v>0</v>
      </c>
      <c r="T92" s="57">
        <f>0</f>
        <v>0</v>
      </c>
      <c r="U92" s="57">
        <f>0</f>
        <v>0</v>
      </c>
      <c r="V92" s="57">
        <f>0</f>
        <v>0</v>
      </c>
      <c r="W92" s="57">
        <f>0</f>
        <v>0</v>
      </c>
      <c r="X92" s="57">
        <f>0</f>
        <v>0</v>
      </c>
      <c r="Y92" s="57">
        <f>0</f>
        <v>0</v>
      </c>
      <c r="Z92" s="57">
        <f>0</f>
        <v>0</v>
      </c>
      <c r="AA92" s="57">
        <f>0</f>
        <v>0</v>
      </c>
      <c r="AB92" s="57">
        <f>0</f>
        <v>0</v>
      </c>
      <c r="AC92" s="57">
        <f>0</f>
        <v>0</v>
      </c>
      <c r="AD92" s="57">
        <f>0</f>
        <v>0</v>
      </c>
      <c r="AE92" s="57">
        <f>0</f>
        <v>0</v>
      </c>
      <c r="AF92" s="57">
        <f>0</f>
        <v>0</v>
      </c>
      <c r="AG92" s="57">
        <f>0</f>
        <v>0</v>
      </c>
      <c r="AH92" s="57">
        <f>0</f>
        <v>0</v>
      </c>
      <c r="AI92" s="57">
        <f>0</f>
        <v>0</v>
      </c>
      <c r="AJ92" s="57">
        <f>0</f>
        <v>0</v>
      </c>
      <c r="AK92" s="57">
        <f>0</f>
        <v>0</v>
      </c>
      <c r="AL92" s="58">
        <f>0</f>
        <v>0</v>
      </c>
    </row>
    <row r="93" spans="2:38" ht="25.5" customHeight="1" outlineLevel="2">
      <c r="B93" s="47" t="s">
        <v>200</v>
      </c>
      <c r="C93" s="284"/>
      <c r="D93" s="285" t="s">
        <v>435</v>
      </c>
      <c r="E93" s="91">
        <f>0</f>
        <v>0</v>
      </c>
      <c r="F93" s="54">
        <f>0</f>
        <v>0</v>
      </c>
      <c r="G93" s="54">
        <f>0</f>
        <v>0</v>
      </c>
      <c r="H93" s="55">
        <f>0</f>
        <v>0</v>
      </c>
      <c r="I93" s="56">
        <f>0</f>
        <v>0</v>
      </c>
      <c r="J93" s="57">
        <f>0</f>
        <v>0</v>
      </c>
      <c r="K93" s="57">
        <f>0</f>
        <v>0</v>
      </c>
      <c r="L93" s="57">
        <f>0</f>
        <v>0</v>
      </c>
      <c r="M93" s="57">
        <f>0</f>
        <v>0</v>
      </c>
      <c r="N93" s="57">
        <f>0</f>
        <v>0</v>
      </c>
      <c r="O93" s="57">
        <f>0</f>
        <v>0</v>
      </c>
      <c r="P93" s="57">
        <f>0</f>
        <v>0</v>
      </c>
      <c r="Q93" s="57">
        <f>0</f>
        <v>0</v>
      </c>
      <c r="R93" s="57">
        <f>0</f>
        <v>0</v>
      </c>
      <c r="S93" s="57">
        <f>0</f>
        <v>0</v>
      </c>
      <c r="T93" s="57">
        <f>0</f>
        <v>0</v>
      </c>
      <c r="U93" s="57">
        <f>0</f>
        <v>0</v>
      </c>
      <c r="V93" s="57">
        <f>0</f>
        <v>0</v>
      </c>
      <c r="W93" s="57">
        <f>0</f>
        <v>0</v>
      </c>
      <c r="X93" s="57">
        <f>0</f>
        <v>0</v>
      </c>
      <c r="Y93" s="57">
        <f>0</f>
        <v>0</v>
      </c>
      <c r="Z93" s="57">
        <f>0</f>
        <v>0</v>
      </c>
      <c r="AA93" s="57">
        <f>0</f>
        <v>0</v>
      </c>
      <c r="AB93" s="57">
        <f>0</f>
        <v>0</v>
      </c>
      <c r="AC93" s="57">
        <f>0</f>
        <v>0</v>
      </c>
      <c r="AD93" s="57">
        <f>0</f>
        <v>0</v>
      </c>
      <c r="AE93" s="57">
        <f>0</f>
        <v>0</v>
      </c>
      <c r="AF93" s="57">
        <f>0</f>
        <v>0</v>
      </c>
      <c r="AG93" s="57">
        <f>0</f>
        <v>0</v>
      </c>
      <c r="AH93" s="57">
        <f>0</f>
        <v>0</v>
      </c>
      <c r="AI93" s="57">
        <f>0</f>
        <v>0</v>
      </c>
      <c r="AJ93" s="57">
        <f>0</f>
        <v>0</v>
      </c>
      <c r="AK93" s="57">
        <f>0</f>
        <v>0</v>
      </c>
      <c r="AL93" s="58">
        <f>0</f>
        <v>0</v>
      </c>
    </row>
    <row r="94" spans="2:38" ht="25.5" customHeight="1" outlineLevel="2">
      <c r="B94" s="47" t="s">
        <v>201</v>
      </c>
      <c r="C94" s="284"/>
      <c r="D94" s="285" t="s">
        <v>436</v>
      </c>
      <c r="E94" s="91">
        <f>0</f>
        <v>0</v>
      </c>
      <c r="F94" s="54">
        <f>0</f>
        <v>0</v>
      </c>
      <c r="G94" s="54">
        <f>0</f>
        <v>0</v>
      </c>
      <c r="H94" s="55">
        <f>0</f>
        <v>0</v>
      </c>
      <c r="I94" s="56">
        <f>0</f>
        <v>0</v>
      </c>
      <c r="J94" s="57">
        <f>0</f>
        <v>0</v>
      </c>
      <c r="K94" s="57">
        <f>0</f>
        <v>0</v>
      </c>
      <c r="L94" s="57">
        <f>0</f>
        <v>0</v>
      </c>
      <c r="M94" s="57">
        <f>0</f>
        <v>0</v>
      </c>
      <c r="N94" s="57">
        <f>0</f>
        <v>0</v>
      </c>
      <c r="O94" s="57">
        <f>0</f>
        <v>0</v>
      </c>
      <c r="P94" s="57">
        <f>0</f>
        <v>0</v>
      </c>
      <c r="Q94" s="57">
        <f>0</f>
        <v>0</v>
      </c>
      <c r="R94" s="57">
        <f>0</f>
        <v>0</v>
      </c>
      <c r="S94" s="57">
        <f>0</f>
        <v>0</v>
      </c>
      <c r="T94" s="57">
        <f>0</f>
        <v>0</v>
      </c>
      <c r="U94" s="57">
        <f>0</f>
        <v>0</v>
      </c>
      <c r="V94" s="57">
        <f>0</f>
        <v>0</v>
      </c>
      <c r="W94" s="57">
        <f>0</f>
        <v>0</v>
      </c>
      <c r="X94" s="57">
        <f>0</f>
        <v>0</v>
      </c>
      <c r="Y94" s="57">
        <f>0</f>
        <v>0</v>
      </c>
      <c r="Z94" s="57">
        <f>0</f>
        <v>0</v>
      </c>
      <c r="AA94" s="57">
        <f>0</f>
        <v>0</v>
      </c>
      <c r="AB94" s="57">
        <f>0</f>
        <v>0</v>
      </c>
      <c r="AC94" s="57">
        <f>0</f>
        <v>0</v>
      </c>
      <c r="AD94" s="57">
        <f>0</f>
        <v>0</v>
      </c>
      <c r="AE94" s="57">
        <f>0</f>
        <v>0</v>
      </c>
      <c r="AF94" s="57">
        <f>0</f>
        <v>0</v>
      </c>
      <c r="AG94" s="57">
        <f>0</f>
        <v>0</v>
      </c>
      <c r="AH94" s="57">
        <f>0</f>
        <v>0</v>
      </c>
      <c r="AI94" s="57">
        <f>0</f>
        <v>0</v>
      </c>
      <c r="AJ94" s="57">
        <f>0</f>
        <v>0</v>
      </c>
      <c r="AK94" s="57">
        <f>0</f>
        <v>0</v>
      </c>
      <c r="AL94" s="58">
        <f>0</f>
        <v>0</v>
      </c>
    </row>
    <row r="95" spans="2:38" ht="25.5" customHeight="1" outlineLevel="2">
      <c r="B95" s="47" t="s">
        <v>202</v>
      </c>
      <c r="C95" s="284"/>
      <c r="D95" s="285" t="s">
        <v>259</v>
      </c>
      <c r="E95" s="91">
        <f>0</f>
        <v>0</v>
      </c>
      <c r="F95" s="54">
        <f>0</f>
        <v>0</v>
      </c>
      <c r="G95" s="54">
        <f>0</f>
        <v>0</v>
      </c>
      <c r="H95" s="55">
        <f>0</f>
        <v>0</v>
      </c>
      <c r="I95" s="56">
        <f>0</f>
        <v>0</v>
      </c>
      <c r="J95" s="57">
        <f>0</f>
        <v>0</v>
      </c>
      <c r="K95" s="57">
        <f>0</f>
        <v>0</v>
      </c>
      <c r="L95" s="57">
        <f>0</f>
        <v>0</v>
      </c>
      <c r="M95" s="57">
        <f>0</f>
        <v>0</v>
      </c>
      <c r="N95" s="57">
        <f>0</f>
        <v>0</v>
      </c>
      <c r="O95" s="57">
        <f>0</f>
        <v>0</v>
      </c>
      <c r="P95" s="57">
        <f>0</f>
        <v>0</v>
      </c>
      <c r="Q95" s="57">
        <f>0</f>
        <v>0</v>
      </c>
      <c r="R95" s="57">
        <f>0</f>
        <v>0</v>
      </c>
      <c r="S95" s="57">
        <f>0</f>
        <v>0</v>
      </c>
      <c r="T95" s="57">
        <f>0</f>
        <v>0</v>
      </c>
      <c r="U95" s="57">
        <f>0</f>
        <v>0</v>
      </c>
      <c r="V95" s="57">
        <f>0</f>
        <v>0</v>
      </c>
      <c r="W95" s="57">
        <f>0</f>
        <v>0</v>
      </c>
      <c r="X95" s="57">
        <f>0</f>
        <v>0</v>
      </c>
      <c r="Y95" s="57">
        <f>0</f>
        <v>0</v>
      </c>
      <c r="Z95" s="57">
        <f>0</f>
        <v>0</v>
      </c>
      <c r="AA95" s="57">
        <f>0</f>
        <v>0</v>
      </c>
      <c r="AB95" s="57">
        <f>0</f>
        <v>0</v>
      </c>
      <c r="AC95" s="57">
        <f>0</f>
        <v>0</v>
      </c>
      <c r="AD95" s="57">
        <f>0</f>
        <v>0</v>
      </c>
      <c r="AE95" s="57">
        <f>0</f>
        <v>0</v>
      </c>
      <c r="AF95" s="57">
        <f>0</f>
        <v>0</v>
      </c>
      <c r="AG95" s="57">
        <f>0</f>
        <v>0</v>
      </c>
      <c r="AH95" s="57">
        <f>0</f>
        <v>0</v>
      </c>
      <c r="AI95" s="57">
        <f>0</f>
        <v>0</v>
      </c>
      <c r="AJ95" s="57">
        <f>0</f>
        <v>0</v>
      </c>
      <c r="AK95" s="57">
        <f>0</f>
        <v>0</v>
      </c>
      <c r="AL95" s="58">
        <f>0</f>
        <v>0</v>
      </c>
    </row>
    <row r="96" spans="2:38" ht="25.5" customHeight="1" outlineLevel="2">
      <c r="B96" s="47" t="s">
        <v>203</v>
      </c>
      <c r="C96" s="284"/>
      <c r="D96" s="285" t="s">
        <v>260</v>
      </c>
      <c r="E96" s="91">
        <f>0</f>
        <v>0</v>
      </c>
      <c r="F96" s="54">
        <f>0</f>
        <v>0</v>
      </c>
      <c r="G96" s="54">
        <f>0</f>
        <v>0</v>
      </c>
      <c r="H96" s="55">
        <f>0</f>
        <v>0</v>
      </c>
      <c r="I96" s="56">
        <f>0</f>
        <v>0</v>
      </c>
      <c r="J96" s="57">
        <f>0</f>
        <v>0</v>
      </c>
      <c r="K96" s="57">
        <f>0</f>
        <v>0</v>
      </c>
      <c r="L96" s="57">
        <f>0</f>
        <v>0</v>
      </c>
      <c r="M96" s="57">
        <f>0</f>
        <v>0</v>
      </c>
      <c r="N96" s="57">
        <f>0</f>
        <v>0</v>
      </c>
      <c r="O96" s="57">
        <f>0</f>
        <v>0</v>
      </c>
      <c r="P96" s="57">
        <f>0</f>
        <v>0</v>
      </c>
      <c r="Q96" s="57">
        <f>0</f>
        <v>0</v>
      </c>
      <c r="R96" s="57">
        <f>0</f>
        <v>0</v>
      </c>
      <c r="S96" s="57">
        <f>0</f>
        <v>0</v>
      </c>
      <c r="T96" s="57">
        <f>0</f>
        <v>0</v>
      </c>
      <c r="U96" s="57">
        <f>0</f>
        <v>0</v>
      </c>
      <c r="V96" s="57">
        <f>0</f>
        <v>0</v>
      </c>
      <c r="W96" s="57">
        <f>0</f>
        <v>0</v>
      </c>
      <c r="X96" s="57">
        <f>0</f>
        <v>0</v>
      </c>
      <c r="Y96" s="57">
        <f>0</f>
        <v>0</v>
      </c>
      <c r="Z96" s="57">
        <f>0</f>
        <v>0</v>
      </c>
      <c r="AA96" s="57">
        <f>0</f>
        <v>0</v>
      </c>
      <c r="AB96" s="57">
        <f>0</f>
        <v>0</v>
      </c>
      <c r="AC96" s="57">
        <f>0</f>
        <v>0</v>
      </c>
      <c r="AD96" s="57">
        <f>0</f>
        <v>0</v>
      </c>
      <c r="AE96" s="57">
        <f>0</f>
        <v>0</v>
      </c>
      <c r="AF96" s="57">
        <f>0</f>
        <v>0</v>
      </c>
      <c r="AG96" s="57">
        <f>0</f>
        <v>0</v>
      </c>
      <c r="AH96" s="57">
        <f>0</f>
        <v>0</v>
      </c>
      <c r="AI96" s="57">
        <f>0</f>
        <v>0</v>
      </c>
      <c r="AJ96" s="57">
        <f>0</f>
        <v>0</v>
      </c>
      <c r="AK96" s="57">
        <f>0</f>
        <v>0</v>
      </c>
      <c r="AL96" s="58">
        <f>0</f>
        <v>0</v>
      </c>
    </row>
    <row r="97" spans="1:39" ht="15" customHeight="1" outlineLevel="1">
      <c r="A97" s="298" t="s">
        <v>31</v>
      </c>
      <c r="B97" s="46">
        <v>14</v>
      </c>
      <c r="C97" s="299"/>
      <c r="D97" s="283" t="s">
        <v>150</v>
      </c>
      <c r="E97" s="94" t="s">
        <v>31</v>
      </c>
      <c r="F97" s="68" t="s">
        <v>31</v>
      </c>
      <c r="G97" s="68" t="s">
        <v>31</v>
      </c>
      <c r="H97" s="69" t="s">
        <v>31</v>
      </c>
      <c r="I97" s="70" t="s">
        <v>31</v>
      </c>
      <c r="J97" s="71" t="s">
        <v>31</v>
      </c>
      <c r="K97" s="71" t="s">
        <v>31</v>
      </c>
      <c r="L97" s="71" t="s">
        <v>31</v>
      </c>
      <c r="M97" s="71" t="s">
        <v>31</v>
      </c>
      <c r="N97" s="71" t="s">
        <v>31</v>
      </c>
      <c r="O97" s="71" t="s">
        <v>31</v>
      </c>
      <c r="P97" s="71" t="s">
        <v>31</v>
      </c>
      <c r="Q97" s="71" t="s">
        <v>31</v>
      </c>
      <c r="R97" s="71" t="s">
        <v>31</v>
      </c>
      <c r="S97" s="71" t="s">
        <v>31</v>
      </c>
      <c r="T97" s="71" t="s">
        <v>31</v>
      </c>
      <c r="U97" s="71" t="s">
        <v>31</v>
      </c>
      <c r="V97" s="71" t="s">
        <v>31</v>
      </c>
      <c r="W97" s="71" t="s">
        <v>31</v>
      </c>
      <c r="X97" s="71" t="s">
        <v>31</v>
      </c>
      <c r="Y97" s="71" t="s">
        <v>31</v>
      </c>
      <c r="Z97" s="71" t="s">
        <v>31</v>
      </c>
      <c r="AA97" s="71" t="s">
        <v>31</v>
      </c>
      <c r="AB97" s="71" t="s">
        <v>31</v>
      </c>
      <c r="AC97" s="71" t="s">
        <v>31</v>
      </c>
      <c r="AD97" s="71" t="s">
        <v>31</v>
      </c>
      <c r="AE97" s="71" t="s">
        <v>31</v>
      </c>
      <c r="AF97" s="71" t="s">
        <v>31</v>
      </c>
      <c r="AG97" s="71" t="s">
        <v>31</v>
      </c>
      <c r="AH97" s="71" t="s">
        <v>31</v>
      </c>
      <c r="AI97" s="71" t="s">
        <v>31</v>
      </c>
      <c r="AJ97" s="71" t="s">
        <v>31</v>
      </c>
      <c r="AK97" s="71" t="s">
        <v>31</v>
      </c>
      <c r="AL97" s="72" t="s">
        <v>31</v>
      </c>
      <c r="AM97" s="42"/>
    </row>
    <row r="98" spans="1:38" ht="25.5" customHeight="1" outlineLevel="2">
      <c r="A98" s="298" t="s">
        <v>31</v>
      </c>
      <c r="B98" s="47" t="s">
        <v>204</v>
      </c>
      <c r="C98" s="284"/>
      <c r="D98" s="285" t="s">
        <v>261</v>
      </c>
      <c r="E98" s="91">
        <f>3474681</f>
        <v>3474681</v>
      </c>
      <c r="F98" s="54">
        <f>3472648</f>
        <v>3472648</v>
      </c>
      <c r="G98" s="54">
        <f>3819913</f>
        <v>3819913</v>
      </c>
      <c r="H98" s="55">
        <f>3819912</f>
        <v>3819912</v>
      </c>
      <c r="I98" s="56">
        <f>4319913</f>
        <v>4319913</v>
      </c>
      <c r="J98" s="57">
        <f>4319922</f>
        <v>4319922</v>
      </c>
      <c r="K98" s="57">
        <f aca="true" t="shared" si="9" ref="K98:P98">2501733</f>
        <v>2501733</v>
      </c>
      <c r="L98" s="57">
        <f t="shared" si="9"/>
        <v>2501733</v>
      </c>
      <c r="M98" s="57">
        <f t="shared" si="9"/>
        <v>2501733</v>
      </c>
      <c r="N98" s="57">
        <f t="shared" si="9"/>
        <v>2501733</v>
      </c>
      <c r="O98" s="57">
        <f t="shared" si="9"/>
        <v>2501733</v>
      </c>
      <c r="P98" s="57">
        <f t="shared" si="9"/>
        <v>2501733</v>
      </c>
      <c r="Q98" s="57">
        <f>2501731</f>
        <v>2501731</v>
      </c>
      <c r="R98" s="57">
        <f>2154468</f>
        <v>2154468</v>
      </c>
      <c r="S98" s="57">
        <f>2154468</f>
        <v>2154468</v>
      </c>
      <c r="T98" s="57">
        <f>2154460</f>
        <v>2154460</v>
      </c>
      <c r="U98" s="57">
        <f>500000</f>
        <v>500000</v>
      </c>
      <c r="V98" s="57">
        <f>500000</f>
        <v>500000</v>
      </c>
      <c r="W98" s="57">
        <f>0</f>
        <v>0</v>
      </c>
      <c r="X98" s="57">
        <f>0</f>
        <v>0</v>
      </c>
      <c r="Y98" s="57">
        <f>0</f>
        <v>0</v>
      </c>
      <c r="Z98" s="57">
        <f>0</f>
        <v>0</v>
      </c>
      <c r="AA98" s="57">
        <f>0</f>
        <v>0</v>
      </c>
      <c r="AB98" s="57">
        <f>0</f>
        <v>0</v>
      </c>
      <c r="AC98" s="57">
        <f>0</f>
        <v>0</v>
      </c>
      <c r="AD98" s="57">
        <f>0</f>
        <v>0</v>
      </c>
      <c r="AE98" s="57">
        <f>0</f>
        <v>0</v>
      </c>
      <c r="AF98" s="57">
        <f>0</f>
        <v>0</v>
      </c>
      <c r="AG98" s="57">
        <f>0</f>
        <v>0</v>
      </c>
      <c r="AH98" s="57">
        <f>0</f>
        <v>0</v>
      </c>
      <c r="AI98" s="57">
        <f>0</f>
        <v>0</v>
      </c>
      <c r="AJ98" s="57">
        <f>0</f>
        <v>0</v>
      </c>
      <c r="AK98" s="57">
        <f>0</f>
        <v>0</v>
      </c>
      <c r="AL98" s="58">
        <f>0</f>
        <v>0</v>
      </c>
    </row>
    <row r="99" spans="1:38" ht="15" customHeight="1" outlineLevel="2">
      <c r="A99" s="298" t="s">
        <v>31</v>
      </c>
      <c r="B99" s="47" t="s">
        <v>205</v>
      </c>
      <c r="C99" s="284"/>
      <c r="D99" s="285" t="s">
        <v>262</v>
      </c>
      <c r="E99" s="91">
        <f>0</f>
        <v>0</v>
      </c>
      <c r="F99" s="54">
        <f>0</f>
        <v>0</v>
      </c>
      <c r="G99" s="54">
        <f>9600000</f>
        <v>9600000</v>
      </c>
      <c r="H99" s="55">
        <f>9600000</f>
        <v>9600000</v>
      </c>
      <c r="I99" s="56">
        <f>20600000</f>
        <v>20600000</v>
      </c>
      <c r="J99" s="57">
        <f>12600000</f>
        <v>12600000</v>
      </c>
      <c r="K99" s="57">
        <f>4000000</f>
        <v>4000000</v>
      </c>
      <c r="L99" s="57">
        <f>0</f>
        <v>0</v>
      </c>
      <c r="M99" s="57">
        <f>0</f>
        <v>0</v>
      </c>
      <c r="N99" s="57">
        <f>0</f>
        <v>0</v>
      </c>
      <c r="O99" s="57">
        <f>0</f>
        <v>0</v>
      </c>
      <c r="P99" s="57">
        <f>0</f>
        <v>0</v>
      </c>
      <c r="Q99" s="57">
        <f>0</f>
        <v>0</v>
      </c>
      <c r="R99" s="57">
        <f>0</f>
        <v>0</v>
      </c>
      <c r="S99" s="57">
        <f>0</f>
        <v>0</v>
      </c>
      <c r="T99" s="57">
        <f>0</f>
        <v>0</v>
      </c>
      <c r="U99" s="57">
        <f>0</f>
        <v>0</v>
      </c>
      <c r="V99" s="57">
        <f>0</f>
        <v>0</v>
      </c>
      <c r="W99" s="57">
        <f>0</f>
        <v>0</v>
      </c>
      <c r="X99" s="57">
        <f>0</f>
        <v>0</v>
      </c>
      <c r="Y99" s="57">
        <f>0</f>
        <v>0</v>
      </c>
      <c r="Z99" s="57">
        <f>0</f>
        <v>0</v>
      </c>
      <c r="AA99" s="57">
        <f>0</f>
        <v>0</v>
      </c>
      <c r="AB99" s="57">
        <f>0</f>
        <v>0</v>
      </c>
      <c r="AC99" s="57">
        <f>0</f>
        <v>0</v>
      </c>
      <c r="AD99" s="57">
        <f>0</f>
        <v>0</v>
      </c>
      <c r="AE99" s="57">
        <f>0</f>
        <v>0</v>
      </c>
      <c r="AF99" s="57">
        <f>0</f>
        <v>0</v>
      </c>
      <c r="AG99" s="57">
        <f>0</f>
        <v>0</v>
      </c>
      <c r="AH99" s="57">
        <f>0</f>
        <v>0</v>
      </c>
      <c r="AI99" s="57">
        <f>0</f>
        <v>0</v>
      </c>
      <c r="AJ99" s="57">
        <f>0</f>
        <v>0</v>
      </c>
      <c r="AK99" s="57">
        <f>0</f>
        <v>0</v>
      </c>
      <c r="AL99" s="58">
        <f>0</f>
        <v>0</v>
      </c>
    </row>
    <row r="100" spans="1:38" ht="15" customHeight="1" outlineLevel="2">
      <c r="A100" s="298" t="s">
        <v>31</v>
      </c>
      <c r="B100" s="47" t="s">
        <v>206</v>
      </c>
      <c r="C100" s="284"/>
      <c r="D100" s="285" t="s">
        <v>264</v>
      </c>
      <c r="E100" s="91">
        <f>0</f>
        <v>0</v>
      </c>
      <c r="F100" s="54">
        <f>0</f>
        <v>0</v>
      </c>
      <c r="G100" s="54">
        <f>2400000</f>
        <v>2400000</v>
      </c>
      <c r="H100" s="55">
        <f>2400000</f>
        <v>2400000</v>
      </c>
      <c r="I100" s="56">
        <f>7000000</f>
        <v>7000000</v>
      </c>
      <c r="J100" s="57">
        <f>8000000</f>
        <v>8000000</v>
      </c>
      <c r="K100" s="57">
        <f>8600000</f>
        <v>8600000</v>
      </c>
      <c r="L100" s="57">
        <f>4000000</f>
        <v>4000000</v>
      </c>
      <c r="M100" s="57">
        <f>0</f>
        <v>0</v>
      </c>
      <c r="N100" s="57">
        <f>0</f>
        <v>0</v>
      </c>
      <c r="O100" s="57">
        <f>0</f>
        <v>0</v>
      </c>
      <c r="P100" s="57">
        <f>0</f>
        <v>0</v>
      </c>
      <c r="Q100" s="57">
        <f>0</f>
        <v>0</v>
      </c>
      <c r="R100" s="57">
        <f>0</f>
        <v>0</v>
      </c>
      <c r="S100" s="57">
        <f>0</f>
        <v>0</v>
      </c>
      <c r="T100" s="57">
        <f>0</f>
        <v>0</v>
      </c>
      <c r="U100" s="57">
        <f>0</f>
        <v>0</v>
      </c>
      <c r="V100" s="57">
        <f>0</f>
        <v>0</v>
      </c>
      <c r="W100" s="57">
        <f>0</f>
        <v>0</v>
      </c>
      <c r="X100" s="57">
        <f>0</f>
        <v>0</v>
      </c>
      <c r="Y100" s="57">
        <f>0</f>
        <v>0</v>
      </c>
      <c r="Z100" s="57">
        <f>0</f>
        <v>0</v>
      </c>
      <c r="AA100" s="57">
        <f>0</f>
        <v>0</v>
      </c>
      <c r="AB100" s="57">
        <f>0</f>
        <v>0</v>
      </c>
      <c r="AC100" s="57">
        <f>0</f>
        <v>0</v>
      </c>
      <c r="AD100" s="57">
        <f>0</f>
        <v>0</v>
      </c>
      <c r="AE100" s="57">
        <f>0</f>
        <v>0</v>
      </c>
      <c r="AF100" s="57">
        <f>0</f>
        <v>0</v>
      </c>
      <c r="AG100" s="57">
        <f>0</f>
        <v>0</v>
      </c>
      <c r="AH100" s="57">
        <f>0</f>
        <v>0</v>
      </c>
      <c r="AI100" s="57">
        <f>0</f>
        <v>0</v>
      </c>
      <c r="AJ100" s="57">
        <f>0</f>
        <v>0</v>
      </c>
      <c r="AK100" s="57">
        <f>0</f>
        <v>0</v>
      </c>
      <c r="AL100" s="58">
        <f>0</f>
        <v>0</v>
      </c>
    </row>
    <row r="101" spans="1:38" ht="15" customHeight="1" outlineLevel="3">
      <c r="A101" s="298" t="s">
        <v>31</v>
      </c>
      <c r="B101" s="47" t="s">
        <v>154</v>
      </c>
      <c r="C101" s="284"/>
      <c r="D101" s="286" t="s">
        <v>263</v>
      </c>
      <c r="E101" s="91">
        <f>0</f>
        <v>0</v>
      </c>
      <c r="F101" s="54">
        <f>0</f>
        <v>0</v>
      </c>
      <c r="G101" s="54">
        <f>0</f>
        <v>0</v>
      </c>
      <c r="H101" s="55">
        <f>0</f>
        <v>0</v>
      </c>
      <c r="I101" s="56">
        <f>0</f>
        <v>0</v>
      </c>
      <c r="J101" s="57">
        <f>0</f>
        <v>0</v>
      </c>
      <c r="K101" s="57">
        <f>0</f>
        <v>0</v>
      </c>
      <c r="L101" s="57">
        <f>0</f>
        <v>0</v>
      </c>
      <c r="M101" s="57">
        <f>0</f>
        <v>0</v>
      </c>
      <c r="N101" s="57">
        <f>0</f>
        <v>0</v>
      </c>
      <c r="O101" s="57">
        <f>0</f>
        <v>0</v>
      </c>
      <c r="P101" s="57">
        <f>0</f>
        <v>0</v>
      </c>
      <c r="Q101" s="57">
        <f>0</f>
        <v>0</v>
      </c>
      <c r="R101" s="57">
        <f>0</f>
        <v>0</v>
      </c>
      <c r="S101" s="57">
        <f>0</f>
        <v>0</v>
      </c>
      <c r="T101" s="57">
        <f>0</f>
        <v>0</v>
      </c>
      <c r="U101" s="57">
        <f>0</f>
        <v>0</v>
      </c>
      <c r="V101" s="57">
        <f>0</f>
        <v>0</v>
      </c>
      <c r="W101" s="57">
        <f>0</f>
        <v>0</v>
      </c>
      <c r="X101" s="57">
        <f>0</f>
        <v>0</v>
      </c>
      <c r="Y101" s="57">
        <f>0</f>
        <v>0</v>
      </c>
      <c r="Z101" s="57">
        <f>0</f>
        <v>0</v>
      </c>
      <c r="AA101" s="57">
        <f>0</f>
        <v>0</v>
      </c>
      <c r="AB101" s="57">
        <f>0</f>
        <v>0</v>
      </c>
      <c r="AC101" s="57">
        <f>0</f>
        <v>0</v>
      </c>
      <c r="AD101" s="57">
        <f>0</f>
        <v>0</v>
      </c>
      <c r="AE101" s="57">
        <f>0</f>
        <v>0</v>
      </c>
      <c r="AF101" s="57">
        <f>0</f>
        <v>0</v>
      </c>
      <c r="AG101" s="57">
        <f>0</f>
        <v>0</v>
      </c>
      <c r="AH101" s="57">
        <f>0</f>
        <v>0</v>
      </c>
      <c r="AI101" s="57">
        <f>0</f>
        <v>0</v>
      </c>
      <c r="AJ101" s="57">
        <f>0</f>
        <v>0</v>
      </c>
      <c r="AK101" s="57">
        <f>0</f>
        <v>0</v>
      </c>
      <c r="AL101" s="58">
        <f>0</f>
        <v>0</v>
      </c>
    </row>
    <row r="102" spans="1:38" ht="15" customHeight="1" outlineLevel="3">
      <c r="A102" s="298" t="s">
        <v>31</v>
      </c>
      <c r="B102" s="47" t="s">
        <v>156</v>
      </c>
      <c r="C102" s="284"/>
      <c r="D102" s="286" t="s">
        <v>265</v>
      </c>
      <c r="E102" s="91">
        <f>0</f>
        <v>0</v>
      </c>
      <c r="F102" s="54">
        <f>0</f>
        <v>0</v>
      </c>
      <c r="G102" s="54">
        <f>2400000</f>
        <v>2400000</v>
      </c>
      <c r="H102" s="55">
        <f>2400000</f>
        <v>2400000</v>
      </c>
      <c r="I102" s="56">
        <f>7000000</f>
        <v>7000000</v>
      </c>
      <c r="J102" s="57">
        <f>8000000</f>
        <v>8000000</v>
      </c>
      <c r="K102" s="57">
        <f>8600000</f>
        <v>8600000</v>
      </c>
      <c r="L102" s="57">
        <f>4000000</f>
        <v>4000000</v>
      </c>
      <c r="M102" s="57">
        <f>0</f>
        <v>0</v>
      </c>
      <c r="N102" s="57">
        <f>0</f>
        <v>0</v>
      </c>
      <c r="O102" s="57">
        <f>0</f>
        <v>0</v>
      </c>
      <c r="P102" s="57">
        <f>0</f>
        <v>0</v>
      </c>
      <c r="Q102" s="57">
        <f>0</f>
        <v>0</v>
      </c>
      <c r="R102" s="57">
        <f>0</f>
        <v>0</v>
      </c>
      <c r="S102" s="57">
        <f>0</f>
        <v>0</v>
      </c>
      <c r="T102" s="57">
        <f>0</f>
        <v>0</v>
      </c>
      <c r="U102" s="57">
        <f>0</f>
        <v>0</v>
      </c>
      <c r="V102" s="57">
        <f>0</f>
        <v>0</v>
      </c>
      <c r="W102" s="57">
        <f>0</f>
        <v>0</v>
      </c>
      <c r="X102" s="57">
        <f>0</f>
        <v>0</v>
      </c>
      <c r="Y102" s="57">
        <f>0</f>
        <v>0</v>
      </c>
      <c r="Z102" s="57">
        <f>0</f>
        <v>0</v>
      </c>
      <c r="AA102" s="57">
        <f>0</f>
        <v>0</v>
      </c>
      <c r="AB102" s="57">
        <f>0</f>
        <v>0</v>
      </c>
      <c r="AC102" s="57">
        <f>0</f>
        <v>0</v>
      </c>
      <c r="AD102" s="57">
        <f>0</f>
        <v>0</v>
      </c>
      <c r="AE102" s="57">
        <f>0</f>
        <v>0</v>
      </c>
      <c r="AF102" s="57">
        <f>0</f>
        <v>0</v>
      </c>
      <c r="AG102" s="57">
        <f>0</f>
        <v>0</v>
      </c>
      <c r="AH102" s="57">
        <f>0</f>
        <v>0</v>
      </c>
      <c r="AI102" s="57">
        <f>0</f>
        <v>0</v>
      </c>
      <c r="AJ102" s="57">
        <f>0</f>
        <v>0</v>
      </c>
      <c r="AK102" s="57">
        <f>0</f>
        <v>0</v>
      </c>
      <c r="AL102" s="58">
        <f>0</f>
        <v>0</v>
      </c>
    </row>
    <row r="103" spans="1:38" ht="15" customHeight="1" outlineLevel="3">
      <c r="A103" s="298" t="s">
        <v>31</v>
      </c>
      <c r="B103" s="47" t="s">
        <v>158</v>
      </c>
      <c r="C103" s="284"/>
      <c r="D103" s="286" t="s">
        <v>266</v>
      </c>
      <c r="E103" s="91">
        <f>0</f>
        <v>0</v>
      </c>
      <c r="F103" s="54">
        <f>0</f>
        <v>0</v>
      </c>
      <c r="G103" s="54">
        <f>0</f>
        <v>0</v>
      </c>
      <c r="H103" s="55">
        <f>0</f>
        <v>0</v>
      </c>
      <c r="I103" s="56">
        <f>0</f>
        <v>0</v>
      </c>
      <c r="J103" s="57">
        <f>0</f>
        <v>0</v>
      </c>
      <c r="K103" s="57">
        <f>0</f>
        <v>0</v>
      </c>
      <c r="L103" s="57">
        <f>0</f>
        <v>0</v>
      </c>
      <c r="M103" s="57">
        <f>0</f>
        <v>0</v>
      </c>
      <c r="N103" s="57">
        <f>0</f>
        <v>0</v>
      </c>
      <c r="O103" s="57">
        <f>0</f>
        <v>0</v>
      </c>
      <c r="P103" s="57">
        <f>0</f>
        <v>0</v>
      </c>
      <c r="Q103" s="57">
        <f>0</f>
        <v>0</v>
      </c>
      <c r="R103" s="57">
        <f>0</f>
        <v>0</v>
      </c>
      <c r="S103" s="57">
        <f>0</f>
        <v>0</v>
      </c>
      <c r="T103" s="57">
        <f>0</f>
        <v>0</v>
      </c>
      <c r="U103" s="57">
        <f>0</f>
        <v>0</v>
      </c>
      <c r="V103" s="57">
        <f>0</f>
        <v>0</v>
      </c>
      <c r="W103" s="57">
        <f>0</f>
        <v>0</v>
      </c>
      <c r="X103" s="57">
        <f>0</f>
        <v>0</v>
      </c>
      <c r="Y103" s="57">
        <f>0</f>
        <v>0</v>
      </c>
      <c r="Z103" s="57">
        <f>0</f>
        <v>0</v>
      </c>
      <c r="AA103" s="57">
        <f>0</f>
        <v>0</v>
      </c>
      <c r="AB103" s="57">
        <f>0</f>
        <v>0</v>
      </c>
      <c r="AC103" s="57">
        <f>0</f>
        <v>0</v>
      </c>
      <c r="AD103" s="57">
        <f>0</f>
        <v>0</v>
      </c>
      <c r="AE103" s="57">
        <f>0</f>
        <v>0</v>
      </c>
      <c r="AF103" s="57">
        <f>0</f>
        <v>0</v>
      </c>
      <c r="AG103" s="57">
        <f>0</f>
        <v>0</v>
      </c>
      <c r="AH103" s="57">
        <f>0</f>
        <v>0</v>
      </c>
      <c r="AI103" s="57">
        <f>0</f>
        <v>0</v>
      </c>
      <c r="AJ103" s="57">
        <f>0</f>
        <v>0</v>
      </c>
      <c r="AK103" s="57">
        <f>0</f>
        <v>0</v>
      </c>
      <c r="AL103" s="58">
        <f>0</f>
        <v>0</v>
      </c>
    </row>
    <row r="104" spans="1:38" ht="15" customHeight="1" outlineLevel="2">
      <c r="A104" s="298" t="s">
        <v>31</v>
      </c>
      <c r="B104" s="48" t="s">
        <v>207</v>
      </c>
      <c r="C104" s="300"/>
      <c r="D104" s="295" t="s">
        <v>267</v>
      </c>
      <c r="E104" s="95">
        <f>0</f>
        <v>0</v>
      </c>
      <c r="F104" s="73">
        <f>0</f>
        <v>0</v>
      </c>
      <c r="G104" s="73">
        <f>0</f>
        <v>0</v>
      </c>
      <c r="H104" s="74">
        <f>0</f>
        <v>0</v>
      </c>
      <c r="I104" s="75">
        <f>0</f>
        <v>0</v>
      </c>
      <c r="J104" s="76">
        <f>0</f>
        <v>0</v>
      </c>
      <c r="K104" s="76">
        <f>0</f>
        <v>0</v>
      </c>
      <c r="L104" s="76">
        <f>0</f>
        <v>0</v>
      </c>
      <c r="M104" s="76">
        <f>0</f>
        <v>0</v>
      </c>
      <c r="N104" s="76">
        <f>0</f>
        <v>0</v>
      </c>
      <c r="O104" s="76">
        <f>0</f>
        <v>0</v>
      </c>
      <c r="P104" s="76">
        <f>0</f>
        <v>0</v>
      </c>
      <c r="Q104" s="76">
        <f>0</f>
        <v>0</v>
      </c>
      <c r="R104" s="76">
        <f>0</f>
        <v>0</v>
      </c>
      <c r="S104" s="76">
        <f>0</f>
        <v>0</v>
      </c>
      <c r="T104" s="76">
        <f>0</f>
        <v>0</v>
      </c>
      <c r="U104" s="76">
        <f>0</f>
        <v>0</v>
      </c>
      <c r="V104" s="76">
        <f>0</f>
        <v>0</v>
      </c>
      <c r="W104" s="76">
        <f>0</f>
        <v>0</v>
      </c>
      <c r="X104" s="76">
        <f>0</f>
        <v>0</v>
      </c>
      <c r="Y104" s="76">
        <f>0</f>
        <v>0</v>
      </c>
      <c r="Z104" s="76">
        <f>0</f>
        <v>0</v>
      </c>
      <c r="AA104" s="76">
        <f>0</f>
        <v>0</v>
      </c>
      <c r="AB104" s="76">
        <f>0</f>
        <v>0</v>
      </c>
      <c r="AC104" s="76">
        <f>0</f>
        <v>0</v>
      </c>
      <c r="AD104" s="76">
        <f>0</f>
        <v>0</v>
      </c>
      <c r="AE104" s="76">
        <f>0</f>
        <v>0</v>
      </c>
      <c r="AF104" s="76">
        <f>0</f>
        <v>0</v>
      </c>
      <c r="AG104" s="76">
        <f>0</f>
        <v>0</v>
      </c>
      <c r="AH104" s="76">
        <f>0</f>
        <v>0</v>
      </c>
      <c r="AI104" s="76">
        <f>0</f>
        <v>0</v>
      </c>
      <c r="AJ104" s="76">
        <f>0</f>
        <v>0</v>
      </c>
      <c r="AK104" s="76">
        <f>0</f>
        <v>0</v>
      </c>
      <c r="AL104" s="77">
        <f>0</f>
        <v>0</v>
      </c>
    </row>
    <row r="105" spans="2:39" ht="14.25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0"/>
    </row>
    <row r="106" spans="2:39" ht="15" hidden="1">
      <c r="B106" s="129" t="s">
        <v>272</v>
      </c>
      <c r="C106" s="129"/>
      <c r="D106" s="122"/>
      <c r="E106" s="130"/>
      <c r="F106" s="130"/>
      <c r="G106" s="130"/>
      <c r="H106" s="130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0"/>
    </row>
    <row r="107" spans="2:39" ht="15" hidden="1">
      <c r="B107" s="131" t="s">
        <v>399</v>
      </c>
      <c r="C107" s="131"/>
      <c r="D107" s="122"/>
      <c r="E107" s="132"/>
      <c r="F107" s="132"/>
      <c r="G107" s="132"/>
      <c r="H107" s="13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0"/>
    </row>
    <row r="108" spans="2:39" ht="14.25" hidden="1">
      <c r="B108" s="133"/>
      <c r="C108" s="133"/>
      <c r="D108" s="122"/>
      <c r="E108" s="132"/>
      <c r="F108" s="132"/>
      <c r="G108" s="132"/>
      <c r="H108" s="13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0"/>
    </row>
    <row r="109" spans="2:39" ht="14.25" hidden="1">
      <c r="B109" s="133"/>
      <c r="C109" s="133"/>
      <c r="D109" s="122"/>
      <c r="E109" s="132"/>
      <c r="F109" s="132"/>
      <c r="G109" s="132"/>
      <c r="H109" s="13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0"/>
    </row>
    <row r="110" spans="2:39" ht="15" hidden="1">
      <c r="B110" s="134" t="s">
        <v>377</v>
      </c>
      <c r="C110" s="134"/>
      <c r="D110" s="134"/>
      <c r="E110" s="135"/>
      <c r="F110" s="135"/>
      <c r="G110" s="135"/>
      <c r="H110" s="13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0"/>
    </row>
    <row r="111" spans="2:39" ht="14.25" hidden="1" outlineLevel="1">
      <c r="B111" s="136"/>
      <c r="C111" s="136"/>
      <c r="D111" s="137" t="s">
        <v>378</v>
      </c>
      <c r="E111" s="132"/>
      <c r="F111" s="132"/>
      <c r="G111" s="132"/>
      <c r="H111" s="13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0"/>
    </row>
    <row r="112" spans="2:39" ht="14.25" hidden="1" outlineLevel="1">
      <c r="B112" s="136"/>
      <c r="C112" s="136"/>
      <c r="D112" s="138" t="s">
        <v>379</v>
      </c>
      <c r="E112" s="132"/>
      <c r="F112" s="132"/>
      <c r="G112" s="132"/>
      <c r="H112" s="13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0"/>
    </row>
    <row r="113" spans="2:39" ht="14.25" hidden="1" outlineLevel="1">
      <c r="B113" s="136"/>
      <c r="C113" s="136"/>
      <c r="D113" s="139" t="s">
        <v>331</v>
      </c>
      <c r="E113" s="132"/>
      <c r="F113" s="132"/>
      <c r="G113" s="132"/>
      <c r="H113" s="13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0"/>
    </row>
    <row r="114" spans="2:39" ht="14.25" hidden="1" outlineLevel="1">
      <c r="B114" s="261"/>
      <c r="C114" s="261"/>
      <c r="D114" s="262" t="s">
        <v>419</v>
      </c>
      <c r="E114" s="132"/>
      <c r="F114" s="132"/>
      <c r="G114" s="132"/>
      <c r="H114" s="13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0"/>
    </row>
    <row r="115" spans="2:38" ht="14.25" hidden="1" outlineLevel="2">
      <c r="B115" s="288" t="s">
        <v>278</v>
      </c>
      <c r="C115" s="289"/>
      <c r="D115" s="84" t="s">
        <v>326</v>
      </c>
      <c r="E115" s="326" t="s">
        <v>31</v>
      </c>
      <c r="F115" s="327" t="s">
        <v>31</v>
      </c>
      <c r="G115" s="327" t="s">
        <v>31</v>
      </c>
      <c r="H115" s="328" t="s">
        <v>31</v>
      </c>
      <c r="I115" s="271" t="str">
        <f>IF(ROUND(I11+I31+I33,2)&gt;=ROUND(I22-I25,2),"TAK","NIE")</f>
        <v>TAK</v>
      </c>
      <c r="J115" s="267" t="str">
        <f aca="true" t="shared" si="10" ref="J115:AL115">IF(ROUND(J11+J31+J33,2)&gt;=ROUND(J22-J25,2),"TAK","NIE")</f>
        <v>TAK</v>
      </c>
      <c r="K115" s="267" t="str">
        <f t="shared" si="10"/>
        <v>TAK</v>
      </c>
      <c r="L115" s="267" t="str">
        <f t="shared" si="10"/>
        <v>TAK</v>
      </c>
      <c r="M115" s="267" t="str">
        <f t="shared" si="10"/>
        <v>TAK</v>
      </c>
      <c r="N115" s="267" t="str">
        <f t="shared" si="10"/>
        <v>TAK</v>
      </c>
      <c r="O115" s="267" t="str">
        <f t="shared" si="10"/>
        <v>TAK</v>
      </c>
      <c r="P115" s="267" t="str">
        <f t="shared" si="10"/>
        <v>TAK</v>
      </c>
      <c r="Q115" s="267" t="str">
        <f t="shared" si="10"/>
        <v>TAK</v>
      </c>
      <c r="R115" s="267" t="str">
        <f t="shared" si="10"/>
        <v>TAK</v>
      </c>
      <c r="S115" s="267" t="str">
        <f t="shared" si="10"/>
        <v>TAK</v>
      </c>
      <c r="T115" s="267" t="str">
        <f t="shared" si="10"/>
        <v>TAK</v>
      </c>
      <c r="U115" s="267" t="str">
        <f t="shared" si="10"/>
        <v>TAK</v>
      </c>
      <c r="V115" s="267" t="str">
        <f t="shared" si="10"/>
        <v>TAK</v>
      </c>
      <c r="W115" s="267" t="str">
        <f t="shared" si="10"/>
        <v>TAK</v>
      </c>
      <c r="X115" s="267" t="str">
        <f t="shared" si="10"/>
        <v>TAK</v>
      </c>
      <c r="Y115" s="267" t="str">
        <f t="shared" si="10"/>
        <v>TAK</v>
      </c>
      <c r="Z115" s="267" t="str">
        <f t="shared" si="10"/>
        <v>TAK</v>
      </c>
      <c r="AA115" s="267" t="str">
        <f t="shared" si="10"/>
        <v>TAK</v>
      </c>
      <c r="AB115" s="267" t="str">
        <f t="shared" si="10"/>
        <v>TAK</v>
      </c>
      <c r="AC115" s="267" t="str">
        <f t="shared" si="10"/>
        <v>TAK</v>
      </c>
      <c r="AD115" s="267" t="str">
        <f t="shared" si="10"/>
        <v>TAK</v>
      </c>
      <c r="AE115" s="267" t="str">
        <f t="shared" si="10"/>
        <v>TAK</v>
      </c>
      <c r="AF115" s="267" t="str">
        <f t="shared" si="10"/>
        <v>TAK</v>
      </c>
      <c r="AG115" s="267" t="str">
        <f t="shared" si="10"/>
        <v>TAK</v>
      </c>
      <c r="AH115" s="267" t="str">
        <f t="shared" si="10"/>
        <v>TAK</v>
      </c>
      <c r="AI115" s="267" t="str">
        <f t="shared" si="10"/>
        <v>TAK</v>
      </c>
      <c r="AJ115" s="267" t="str">
        <f t="shared" si="10"/>
        <v>TAK</v>
      </c>
      <c r="AK115" s="267" t="str">
        <f t="shared" si="10"/>
        <v>TAK</v>
      </c>
      <c r="AL115" s="268" t="str">
        <f t="shared" si="10"/>
        <v>TAK</v>
      </c>
    </row>
    <row r="116" spans="2:38" ht="14.25" hidden="1" outlineLevel="2">
      <c r="B116" s="290"/>
      <c r="C116" s="291"/>
      <c r="D116" s="85" t="s">
        <v>273</v>
      </c>
      <c r="E116" s="329" t="s">
        <v>31</v>
      </c>
      <c r="F116" s="330" t="s">
        <v>31</v>
      </c>
      <c r="G116" s="330" t="s">
        <v>31</v>
      </c>
      <c r="H116" s="331" t="s">
        <v>31</v>
      </c>
      <c r="I116" s="272" t="str">
        <f>IF(I54&lt;=15%,"TAK","NIE")</f>
        <v>TAK</v>
      </c>
      <c r="J116" s="265" t="s">
        <v>31</v>
      </c>
      <c r="K116" s="265" t="s">
        <v>31</v>
      </c>
      <c r="L116" s="265" t="s">
        <v>31</v>
      </c>
      <c r="M116" s="265" t="s">
        <v>31</v>
      </c>
      <c r="N116" s="265" t="s">
        <v>31</v>
      </c>
      <c r="O116" s="265" t="s">
        <v>31</v>
      </c>
      <c r="P116" s="265" t="s">
        <v>31</v>
      </c>
      <c r="Q116" s="265" t="s">
        <v>31</v>
      </c>
      <c r="R116" s="265" t="s">
        <v>31</v>
      </c>
      <c r="S116" s="265" t="s">
        <v>31</v>
      </c>
      <c r="T116" s="265" t="s">
        <v>31</v>
      </c>
      <c r="U116" s="265" t="s">
        <v>31</v>
      </c>
      <c r="V116" s="265" t="s">
        <v>31</v>
      </c>
      <c r="W116" s="265" t="s">
        <v>31</v>
      </c>
      <c r="X116" s="265" t="s">
        <v>31</v>
      </c>
      <c r="Y116" s="265" t="s">
        <v>31</v>
      </c>
      <c r="Z116" s="265" t="s">
        <v>31</v>
      </c>
      <c r="AA116" s="265" t="s">
        <v>31</v>
      </c>
      <c r="AB116" s="265" t="s">
        <v>31</v>
      </c>
      <c r="AC116" s="265" t="s">
        <v>31</v>
      </c>
      <c r="AD116" s="265" t="s">
        <v>31</v>
      </c>
      <c r="AE116" s="265" t="s">
        <v>31</v>
      </c>
      <c r="AF116" s="265" t="s">
        <v>31</v>
      </c>
      <c r="AG116" s="265" t="s">
        <v>31</v>
      </c>
      <c r="AH116" s="265" t="s">
        <v>31</v>
      </c>
      <c r="AI116" s="265" t="s">
        <v>31</v>
      </c>
      <c r="AJ116" s="265" t="s">
        <v>31</v>
      </c>
      <c r="AK116" s="265" t="s">
        <v>31</v>
      </c>
      <c r="AL116" s="266" t="s">
        <v>31</v>
      </c>
    </row>
    <row r="117" spans="2:38" ht="14.25" hidden="1" outlineLevel="2">
      <c r="B117" s="290"/>
      <c r="C117" s="291"/>
      <c r="D117" s="85" t="s">
        <v>274</v>
      </c>
      <c r="E117" s="329" t="s">
        <v>31</v>
      </c>
      <c r="F117" s="330" t="s">
        <v>31</v>
      </c>
      <c r="G117" s="330" t="s">
        <v>31</v>
      </c>
      <c r="H117" s="331" t="s">
        <v>31</v>
      </c>
      <c r="I117" s="272" t="str">
        <f>IF(I55&lt;=15%,"TAK","NIE")</f>
        <v>TAK</v>
      </c>
      <c r="J117" s="265" t="s">
        <v>31</v>
      </c>
      <c r="K117" s="265" t="s">
        <v>31</v>
      </c>
      <c r="L117" s="265" t="s">
        <v>31</v>
      </c>
      <c r="M117" s="265" t="s">
        <v>31</v>
      </c>
      <c r="N117" s="265" t="s">
        <v>31</v>
      </c>
      <c r="O117" s="265" t="s">
        <v>31</v>
      </c>
      <c r="P117" s="265" t="s">
        <v>31</v>
      </c>
      <c r="Q117" s="265" t="s">
        <v>31</v>
      </c>
      <c r="R117" s="265" t="s">
        <v>31</v>
      </c>
      <c r="S117" s="265" t="s">
        <v>31</v>
      </c>
      <c r="T117" s="265" t="s">
        <v>31</v>
      </c>
      <c r="U117" s="265" t="s">
        <v>31</v>
      </c>
      <c r="V117" s="265" t="s">
        <v>31</v>
      </c>
      <c r="W117" s="265" t="s">
        <v>31</v>
      </c>
      <c r="X117" s="265" t="s">
        <v>31</v>
      </c>
      <c r="Y117" s="265" t="s">
        <v>31</v>
      </c>
      <c r="Z117" s="265" t="s">
        <v>31</v>
      </c>
      <c r="AA117" s="265" t="s">
        <v>31</v>
      </c>
      <c r="AB117" s="265" t="s">
        <v>31</v>
      </c>
      <c r="AC117" s="265" t="s">
        <v>31</v>
      </c>
      <c r="AD117" s="265" t="s">
        <v>31</v>
      </c>
      <c r="AE117" s="265" t="s">
        <v>31</v>
      </c>
      <c r="AF117" s="265" t="s">
        <v>31</v>
      </c>
      <c r="AG117" s="265" t="s">
        <v>31</v>
      </c>
      <c r="AH117" s="265" t="s">
        <v>31</v>
      </c>
      <c r="AI117" s="265" t="s">
        <v>31</v>
      </c>
      <c r="AJ117" s="265" t="s">
        <v>31</v>
      </c>
      <c r="AK117" s="265" t="s">
        <v>31</v>
      </c>
      <c r="AL117" s="266" t="s">
        <v>31</v>
      </c>
    </row>
    <row r="118" spans="2:38" ht="14.25" hidden="1" outlineLevel="2">
      <c r="B118" s="290"/>
      <c r="C118" s="291"/>
      <c r="D118" s="85" t="s">
        <v>380</v>
      </c>
      <c r="E118" s="329" t="s">
        <v>31</v>
      </c>
      <c r="F118" s="330" t="s">
        <v>31</v>
      </c>
      <c r="G118" s="330" t="s">
        <v>31</v>
      </c>
      <c r="H118" s="331" t="s">
        <v>31</v>
      </c>
      <c r="I118" s="272" t="str">
        <f>IF(I47&lt;=60%,"TAK","NIE")</f>
        <v>TAK</v>
      </c>
      <c r="J118" s="265" t="s">
        <v>31</v>
      </c>
      <c r="K118" s="265" t="s">
        <v>31</v>
      </c>
      <c r="L118" s="265" t="s">
        <v>31</v>
      </c>
      <c r="M118" s="265" t="s">
        <v>31</v>
      </c>
      <c r="N118" s="265" t="s">
        <v>31</v>
      </c>
      <c r="O118" s="265" t="s">
        <v>31</v>
      </c>
      <c r="P118" s="265" t="s">
        <v>31</v>
      </c>
      <c r="Q118" s="265" t="s">
        <v>31</v>
      </c>
      <c r="R118" s="265" t="s">
        <v>31</v>
      </c>
      <c r="S118" s="265" t="s">
        <v>31</v>
      </c>
      <c r="T118" s="265" t="s">
        <v>31</v>
      </c>
      <c r="U118" s="265" t="s">
        <v>31</v>
      </c>
      <c r="V118" s="265" t="s">
        <v>31</v>
      </c>
      <c r="W118" s="265" t="s">
        <v>31</v>
      </c>
      <c r="X118" s="265" t="s">
        <v>31</v>
      </c>
      <c r="Y118" s="265" t="s">
        <v>31</v>
      </c>
      <c r="Z118" s="265" t="s">
        <v>31</v>
      </c>
      <c r="AA118" s="265" t="s">
        <v>31</v>
      </c>
      <c r="AB118" s="265" t="s">
        <v>31</v>
      </c>
      <c r="AC118" s="265" t="s">
        <v>31</v>
      </c>
      <c r="AD118" s="265" t="s">
        <v>31</v>
      </c>
      <c r="AE118" s="265" t="s">
        <v>31</v>
      </c>
      <c r="AF118" s="265" t="s">
        <v>31</v>
      </c>
      <c r="AG118" s="265" t="s">
        <v>31</v>
      </c>
      <c r="AH118" s="265" t="s">
        <v>31</v>
      </c>
      <c r="AI118" s="265" t="s">
        <v>31</v>
      </c>
      <c r="AJ118" s="265" t="s">
        <v>31</v>
      </c>
      <c r="AK118" s="265" t="s">
        <v>31</v>
      </c>
      <c r="AL118" s="266" t="s">
        <v>31</v>
      </c>
    </row>
    <row r="119" spans="2:38" ht="14.25" hidden="1" outlineLevel="2">
      <c r="B119" s="290"/>
      <c r="C119" s="291"/>
      <c r="D119" s="85" t="s">
        <v>275</v>
      </c>
      <c r="E119" s="329" t="s">
        <v>31</v>
      </c>
      <c r="F119" s="330" t="s">
        <v>31</v>
      </c>
      <c r="G119" s="330" t="s">
        <v>31</v>
      </c>
      <c r="H119" s="331" t="s">
        <v>31</v>
      </c>
      <c r="I119" s="272" t="str">
        <f>IF(I48&lt;=60%,"TAK","NIE")</f>
        <v>TAK</v>
      </c>
      <c r="J119" s="265" t="s">
        <v>31</v>
      </c>
      <c r="K119" s="265" t="s">
        <v>31</v>
      </c>
      <c r="L119" s="265" t="s">
        <v>31</v>
      </c>
      <c r="M119" s="265" t="s">
        <v>31</v>
      </c>
      <c r="N119" s="265" t="s">
        <v>31</v>
      </c>
      <c r="O119" s="265" t="s">
        <v>31</v>
      </c>
      <c r="P119" s="265" t="s">
        <v>31</v>
      </c>
      <c r="Q119" s="265" t="s">
        <v>31</v>
      </c>
      <c r="R119" s="265" t="s">
        <v>31</v>
      </c>
      <c r="S119" s="265" t="s">
        <v>31</v>
      </c>
      <c r="T119" s="265" t="s">
        <v>31</v>
      </c>
      <c r="U119" s="265" t="s">
        <v>31</v>
      </c>
      <c r="V119" s="265" t="s">
        <v>31</v>
      </c>
      <c r="W119" s="265" t="s">
        <v>31</v>
      </c>
      <c r="X119" s="265" t="s">
        <v>31</v>
      </c>
      <c r="Y119" s="265" t="s">
        <v>31</v>
      </c>
      <c r="Z119" s="265" t="s">
        <v>31</v>
      </c>
      <c r="AA119" s="265" t="s">
        <v>31</v>
      </c>
      <c r="AB119" s="265" t="s">
        <v>31</v>
      </c>
      <c r="AC119" s="265" t="s">
        <v>31</v>
      </c>
      <c r="AD119" s="265" t="s">
        <v>31</v>
      </c>
      <c r="AE119" s="265" t="s">
        <v>31</v>
      </c>
      <c r="AF119" s="265" t="s">
        <v>31</v>
      </c>
      <c r="AG119" s="265" t="s">
        <v>31</v>
      </c>
      <c r="AH119" s="265" t="s">
        <v>31</v>
      </c>
      <c r="AI119" s="265" t="s">
        <v>31</v>
      </c>
      <c r="AJ119" s="265" t="s">
        <v>31</v>
      </c>
      <c r="AK119" s="265" t="s">
        <v>31</v>
      </c>
      <c r="AL119" s="266" t="s">
        <v>31</v>
      </c>
    </row>
    <row r="120" spans="2:38" ht="24" hidden="1" outlineLevel="2">
      <c r="B120" s="290" t="s">
        <v>276</v>
      </c>
      <c r="C120" s="291"/>
      <c r="D120" s="85" t="s">
        <v>398</v>
      </c>
      <c r="E120" s="329" t="s">
        <v>31</v>
      </c>
      <c r="F120" s="330" t="s">
        <v>31</v>
      </c>
      <c r="G120" s="330" t="s">
        <v>31</v>
      </c>
      <c r="H120" s="331" t="s">
        <v>31</v>
      </c>
      <c r="I120" s="272" t="s">
        <v>31</v>
      </c>
      <c r="J120" s="265" t="s">
        <v>31</v>
      </c>
      <c r="K120" s="265" t="str">
        <f aca="true" t="shared" si="11" ref="K120:AL120">IF(K92=0,"TAK","BŁĄD")</f>
        <v>TAK</v>
      </c>
      <c r="L120" s="265" t="str">
        <f t="shared" si="11"/>
        <v>TAK</v>
      </c>
      <c r="M120" s="265" t="str">
        <f t="shared" si="11"/>
        <v>TAK</v>
      </c>
      <c r="N120" s="265" t="str">
        <f t="shared" si="11"/>
        <v>TAK</v>
      </c>
      <c r="O120" s="265" t="str">
        <f t="shared" si="11"/>
        <v>TAK</v>
      </c>
      <c r="P120" s="265" t="str">
        <f t="shared" si="11"/>
        <v>TAK</v>
      </c>
      <c r="Q120" s="265" t="str">
        <f t="shared" si="11"/>
        <v>TAK</v>
      </c>
      <c r="R120" s="265" t="str">
        <f t="shared" si="11"/>
        <v>TAK</v>
      </c>
      <c r="S120" s="265" t="str">
        <f t="shared" si="11"/>
        <v>TAK</v>
      </c>
      <c r="T120" s="265" t="str">
        <f t="shared" si="11"/>
        <v>TAK</v>
      </c>
      <c r="U120" s="265" t="str">
        <f t="shared" si="11"/>
        <v>TAK</v>
      </c>
      <c r="V120" s="265" t="str">
        <f t="shared" si="11"/>
        <v>TAK</v>
      </c>
      <c r="W120" s="265" t="str">
        <f t="shared" si="11"/>
        <v>TAK</v>
      </c>
      <c r="X120" s="265" t="str">
        <f t="shared" si="11"/>
        <v>TAK</v>
      </c>
      <c r="Y120" s="265" t="str">
        <f t="shared" si="11"/>
        <v>TAK</v>
      </c>
      <c r="Z120" s="265" t="str">
        <f t="shared" si="11"/>
        <v>TAK</v>
      </c>
      <c r="AA120" s="265" t="str">
        <f t="shared" si="11"/>
        <v>TAK</v>
      </c>
      <c r="AB120" s="265" t="str">
        <f t="shared" si="11"/>
        <v>TAK</v>
      </c>
      <c r="AC120" s="265" t="str">
        <f t="shared" si="11"/>
        <v>TAK</v>
      </c>
      <c r="AD120" s="265" t="str">
        <f t="shared" si="11"/>
        <v>TAK</v>
      </c>
      <c r="AE120" s="265" t="str">
        <f t="shared" si="11"/>
        <v>TAK</v>
      </c>
      <c r="AF120" s="265" t="str">
        <f t="shared" si="11"/>
        <v>TAK</v>
      </c>
      <c r="AG120" s="265" t="str">
        <f t="shared" si="11"/>
        <v>TAK</v>
      </c>
      <c r="AH120" s="265" t="str">
        <f t="shared" si="11"/>
        <v>TAK</v>
      </c>
      <c r="AI120" s="265" t="str">
        <f t="shared" si="11"/>
        <v>TAK</v>
      </c>
      <c r="AJ120" s="265" t="str">
        <f t="shared" si="11"/>
        <v>TAK</v>
      </c>
      <c r="AK120" s="265" t="str">
        <f t="shared" si="11"/>
        <v>TAK</v>
      </c>
      <c r="AL120" s="266" t="str">
        <f t="shared" si="11"/>
        <v>TAK</v>
      </c>
    </row>
    <row r="121" spans="2:38" ht="14.25" hidden="1" outlineLevel="1">
      <c r="B121" s="290" t="s">
        <v>277</v>
      </c>
      <c r="C121" s="291"/>
      <c r="D121" s="86" t="s">
        <v>327</v>
      </c>
      <c r="E121" s="329" t="s">
        <v>31</v>
      </c>
      <c r="F121" s="330" t="s">
        <v>31</v>
      </c>
      <c r="G121" s="330" t="s">
        <v>31</v>
      </c>
      <c r="H121" s="331" t="s">
        <v>31</v>
      </c>
      <c r="I121" s="277" t="str">
        <f>IF(ROUND(I10+I30-I21-I39,2)=0,"OK",ROUND(I10+I30-I21-I39,2))</f>
        <v>OK</v>
      </c>
      <c r="J121" s="278" t="str">
        <f aca="true" t="shared" si="12" ref="J121:AL121">IF(ROUND(J10+J30-J21-J39,2)=0,"OK",ROUND(J10+J30-J21-J39,2))</f>
        <v>OK</v>
      </c>
      <c r="K121" s="278" t="str">
        <f t="shared" si="12"/>
        <v>OK</v>
      </c>
      <c r="L121" s="278" t="str">
        <f t="shared" si="12"/>
        <v>OK</v>
      </c>
      <c r="M121" s="278" t="str">
        <f t="shared" si="12"/>
        <v>OK</v>
      </c>
      <c r="N121" s="278" t="str">
        <f t="shared" si="12"/>
        <v>OK</v>
      </c>
      <c r="O121" s="278" t="str">
        <f t="shared" si="12"/>
        <v>OK</v>
      </c>
      <c r="P121" s="278" t="str">
        <f t="shared" si="12"/>
        <v>OK</v>
      </c>
      <c r="Q121" s="278" t="str">
        <f t="shared" si="12"/>
        <v>OK</v>
      </c>
      <c r="R121" s="278" t="str">
        <f t="shared" si="12"/>
        <v>OK</v>
      </c>
      <c r="S121" s="278" t="str">
        <f t="shared" si="12"/>
        <v>OK</v>
      </c>
      <c r="T121" s="278" t="str">
        <f t="shared" si="12"/>
        <v>OK</v>
      </c>
      <c r="U121" s="278" t="str">
        <f t="shared" si="12"/>
        <v>OK</v>
      </c>
      <c r="V121" s="278" t="str">
        <f t="shared" si="12"/>
        <v>OK</v>
      </c>
      <c r="W121" s="278" t="str">
        <f t="shared" si="12"/>
        <v>OK</v>
      </c>
      <c r="X121" s="278" t="str">
        <f t="shared" si="12"/>
        <v>OK</v>
      </c>
      <c r="Y121" s="278" t="str">
        <f t="shared" si="12"/>
        <v>OK</v>
      </c>
      <c r="Z121" s="278" t="str">
        <f t="shared" si="12"/>
        <v>OK</v>
      </c>
      <c r="AA121" s="278" t="str">
        <f t="shared" si="12"/>
        <v>OK</v>
      </c>
      <c r="AB121" s="278" t="str">
        <f t="shared" si="12"/>
        <v>OK</v>
      </c>
      <c r="AC121" s="278" t="str">
        <f t="shared" si="12"/>
        <v>OK</v>
      </c>
      <c r="AD121" s="278" t="str">
        <f t="shared" si="12"/>
        <v>OK</v>
      </c>
      <c r="AE121" s="278" t="str">
        <f t="shared" si="12"/>
        <v>OK</v>
      </c>
      <c r="AF121" s="278" t="str">
        <f t="shared" si="12"/>
        <v>OK</v>
      </c>
      <c r="AG121" s="278" t="str">
        <f t="shared" si="12"/>
        <v>OK</v>
      </c>
      <c r="AH121" s="278" t="str">
        <f t="shared" si="12"/>
        <v>OK</v>
      </c>
      <c r="AI121" s="278" t="str">
        <f t="shared" si="12"/>
        <v>OK</v>
      </c>
      <c r="AJ121" s="278" t="str">
        <f t="shared" si="12"/>
        <v>OK</v>
      </c>
      <c r="AK121" s="278" t="str">
        <f t="shared" si="12"/>
        <v>OK</v>
      </c>
      <c r="AL121" s="279" t="str">
        <f t="shared" si="12"/>
        <v>OK</v>
      </c>
    </row>
    <row r="122" spans="2:38" ht="14.25" hidden="1" outlineLevel="2">
      <c r="B122" s="296" t="s">
        <v>437</v>
      </c>
      <c r="C122" s="301"/>
      <c r="D122" s="86" t="s">
        <v>328</v>
      </c>
      <c r="E122" s="329" t="s">
        <v>31</v>
      </c>
      <c r="F122" s="330" t="s">
        <v>31</v>
      </c>
      <c r="G122" s="330" t="s">
        <v>31</v>
      </c>
      <c r="H122" s="331" t="s">
        <v>31</v>
      </c>
      <c r="I122" s="277">
        <f>+IF(ROUND(H44+I35-I40+(I99-H99)+I104-I44,2)=0,"OK",ROUND(H44+I35-I40+(I99-H99)+I104-I44,2))</f>
        <v>2</v>
      </c>
      <c r="J122" s="278" t="str">
        <f aca="true" t="shared" si="13" ref="J122:AL122">+IF(ROUND(I44+J35-J40+(J99-I99)+J104-J44,2)=0,"OK",ROUND(I44+J35-J40+(J99-I99)+J104-J44,2))</f>
        <v>OK</v>
      </c>
      <c r="K122" s="278" t="str">
        <f t="shared" si="13"/>
        <v>OK</v>
      </c>
      <c r="L122" s="278" t="str">
        <f t="shared" si="13"/>
        <v>OK</v>
      </c>
      <c r="M122" s="278" t="str">
        <f t="shared" si="13"/>
        <v>OK</v>
      </c>
      <c r="N122" s="278" t="str">
        <f t="shared" si="13"/>
        <v>OK</v>
      </c>
      <c r="O122" s="278" t="str">
        <f t="shared" si="13"/>
        <v>OK</v>
      </c>
      <c r="P122" s="278" t="str">
        <f t="shared" si="13"/>
        <v>OK</v>
      </c>
      <c r="Q122" s="278" t="str">
        <f t="shared" si="13"/>
        <v>OK</v>
      </c>
      <c r="R122" s="278" t="str">
        <f t="shared" si="13"/>
        <v>OK</v>
      </c>
      <c r="S122" s="278" t="str">
        <f t="shared" si="13"/>
        <v>OK</v>
      </c>
      <c r="T122" s="278" t="str">
        <f t="shared" si="13"/>
        <v>OK</v>
      </c>
      <c r="U122" s="278" t="str">
        <f t="shared" si="13"/>
        <v>OK</v>
      </c>
      <c r="V122" s="278" t="str">
        <f t="shared" si="13"/>
        <v>OK</v>
      </c>
      <c r="W122" s="278" t="str">
        <f t="shared" si="13"/>
        <v>OK</v>
      </c>
      <c r="X122" s="278" t="str">
        <f t="shared" si="13"/>
        <v>OK</v>
      </c>
      <c r="Y122" s="278" t="str">
        <f t="shared" si="13"/>
        <v>OK</v>
      </c>
      <c r="Z122" s="278" t="str">
        <f t="shared" si="13"/>
        <v>OK</v>
      </c>
      <c r="AA122" s="278" t="str">
        <f t="shared" si="13"/>
        <v>OK</v>
      </c>
      <c r="AB122" s="278" t="str">
        <f t="shared" si="13"/>
        <v>OK</v>
      </c>
      <c r="AC122" s="278" t="str">
        <f t="shared" si="13"/>
        <v>OK</v>
      </c>
      <c r="AD122" s="278" t="str">
        <f t="shared" si="13"/>
        <v>OK</v>
      </c>
      <c r="AE122" s="278" t="str">
        <f t="shared" si="13"/>
        <v>OK</v>
      </c>
      <c r="AF122" s="278" t="str">
        <f t="shared" si="13"/>
        <v>OK</v>
      </c>
      <c r="AG122" s="278" t="str">
        <f t="shared" si="13"/>
        <v>OK</v>
      </c>
      <c r="AH122" s="278" t="str">
        <f t="shared" si="13"/>
        <v>OK</v>
      </c>
      <c r="AI122" s="278" t="str">
        <f t="shared" si="13"/>
        <v>OK</v>
      </c>
      <c r="AJ122" s="278" t="str">
        <f t="shared" si="13"/>
        <v>OK</v>
      </c>
      <c r="AK122" s="278" t="str">
        <f t="shared" si="13"/>
        <v>OK</v>
      </c>
      <c r="AL122" s="279" t="str">
        <f t="shared" si="13"/>
        <v>OK</v>
      </c>
    </row>
    <row r="123" spans="2:38" ht="48" hidden="1" outlineLevel="2">
      <c r="B123" s="296" t="s">
        <v>438</v>
      </c>
      <c r="C123" s="301"/>
      <c r="D123" s="86" t="s">
        <v>452</v>
      </c>
      <c r="E123" s="332" t="s">
        <v>31</v>
      </c>
      <c r="F123" s="330" t="s">
        <v>31</v>
      </c>
      <c r="G123" s="330" t="s">
        <v>31</v>
      </c>
      <c r="H123" s="331" t="s">
        <v>31</v>
      </c>
      <c r="I123" s="278">
        <f>+IF(H99=0,"N/D",IF(ROUND(I99+I100-H99,2)=0,"OK",ROUND(I99+I100-H99,2)))</f>
        <v>18000000</v>
      </c>
      <c r="J123" s="278" t="str">
        <f aca="true" t="shared" si="14" ref="J123:AL123">+IF(I99=0,"N/D",IF(ROUND(J99+J100-I99,2)=0,"OK",ROUND(J99+J100-I99,2)))</f>
        <v>OK</v>
      </c>
      <c r="K123" s="278" t="str">
        <f t="shared" si="14"/>
        <v>OK</v>
      </c>
      <c r="L123" s="278" t="str">
        <f t="shared" si="14"/>
        <v>OK</v>
      </c>
      <c r="M123" s="278" t="str">
        <f t="shared" si="14"/>
        <v>N/D</v>
      </c>
      <c r="N123" s="278" t="str">
        <f t="shared" si="14"/>
        <v>N/D</v>
      </c>
      <c r="O123" s="278" t="str">
        <f t="shared" si="14"/>
        <v>N/D</v>
      </c>
      <c r="P123" s="278" t="str">
        <f t="shared" si="14"/>
        <v>N/D</v>
      </c>
      <c r="Q123" s="278" t="str">
        <f t="shared" si="14"/>
        <v>N/D</v>
      </c>
      <c r="R123" s="278" t="str">
        <f t="shared" si="14"/>
        <v>N/D</v>
      </c>
      <c r="S123" s="278" t="str">
        <f t="shared" si="14"/>
        <v>N/D</v>
      </c>
      <c r="T123" s="278" t="str">
        <f t="shared" si="14"/>
        <v>N/D</v>
      </c>
      <c r="U123" s="278" t="str">
        <f t="shared" si="14"/>
        <v>N/D</v>
      </c>
      <c r="V123" s="278" t="str">
        <f t="shared" si="14"/>
        <v>N/D</v>
      </c>
      <c r="W123" s="278" t="str">
        <f t="shared" si="14"/>
        <v>N/D</v>
      </c>
      <c r="X123" s="278" t="str">
        <f t="shared" si="14"/>
        <v>N/D</v>
      </c>
      <c r="Y123" s="278" t="str">
        <f t="shared" si="14"/>
        <v>N/D</v>
      </c>
      <c r="Z123" s="278" t="str">
        <f t="shared" si="14"/>
        <v>N/D</v>
      </c>
      <c r="AA123" s="278" t="str">
        <f t="shared" si="14"/>
        <v>N/D</v>
      </c>
      <c r="AB123" s="278" t="str">
        <f t="shared" si="14"/>
        <v>N/D</v>
      </c>
      <c r="AC123" s="278" t="str">
        <f t="shared" si="14"/>
        <v>N/D</v>
      </c>
      <c r="AD123" s="278" t="str">
        <f t="shared" si="14"/>
        <v>N/D</v>
      </c>
      <c r="AE123" s="278" t="str">
        <f t="shared" si="14"/>
        <v>N/D</v>
      </c>
      <c r="AF123" s="278" t="str">
        <f t="shared" si="14"/>
        <v>N/D</v>
      </c>
      <c r="AG123" s="278" t="str">
        <f t="shared" si="14"/>
        <v>N/D</v>
      </c>
      <c r="AH123" s="278" t="str">
        <f t="shared" si="14"/>
        <v>N/D</v>
      </c>
      <c r="AI123" s="278" t="str">
        <f t="shared" si="14"/>
        <v>N/D</v>
      </c>
      <c r="AJ123" s="278" t="str">
        <f t="shared" si="14"/>
        <v>N/D</v>
      </c>
      <c r="AK123" s="278" t="str">
        <f t="shared" si="14"/>
        <v>N/D</v>
      </c>
      <c r="AL123" s="279" t="str">
        <f t="shared" si="14"/>
        <v>N/D</v>
      </c>
    </row>
    <row r="124" spans="2:38" ht="36" hidden="1" outlineLevel="2">
      <c r="B124" s="296" t="s">
        <v>440</v>
      </c>
      <c r="C124" s="301"/>
      <c r="D124" s="86" t="s">
        <v>439</v>
      </c>
      <c r="E124" s="329" t="s">
        <v>31</v>
      </c>
      <c r="F124" s="330" t="s">
        <v>31</v>
      </c>
      <c r="G124" s="330" t="s">
        <v>31</v>
      </c>
      <c r="H124" s="331" t="s">
        <v>31</v>
      </c>
      <c r="I124" s="277" t="str">
        <f>+IF(H90=0,"N/D",IF(ROUND(I90+(I92+I93+I94+I95)-H90,2)=0,"OK",ROUND(I90+(I92+I93+I94+I95)-H90,2)))</f>
        <v>N/D</v>
      </c>
      <c r="J124" s="278" t="str">
        <f aca="true" t="shared" si="15" ref="J124:AL124">+IF(I90=0,"N/D",IF(ROUND(J90+(J92+J93+J94+J95)-I90,2)=0,"OK",ROUND(J90+(J92+J93+J94+J95)-I90,2)))</f>
        <v>N/D</v>
      </c>
      <c r="K124" s="278" t="str">
        <f t="shared" si="15"/>
        <v>N/D</v>
      </c>
      <c r="L124" s="278" t="str">
        <f t="shared" si="15"/>
        <v>N/D</v>
      </c>
      <c r="M124" s="278" t="str">
        <f t="shared" si="15"/>
        <v>N/D</v>
      </c>
      <c r="N124" s="278" t="str">
        <f t="shared" si="15"/>
        <v>N/D</v>
      </c>
      <c r="O124" s="278" t="str">
        <f t="shared" si="15"/>
        <v>N/D</v>
      </c>
      <c r="P124" s="278" t="str">
        <f t="shared" si="15"/>
        <v>N/D</v>
      </c>
      <c r="Q124" s="278" t="str">
        <f t="shared" si="15"/>
        <v>N/D</v>
      </c>
      <c r="R124" s="278" t="str">
        <f t="shared" si="15"/>
        <v>N/D</v>
      </c>
      <c r="S124" s="278" t="str">
        <f t="shared" si="15"/>
        <v>N/D</v>
      </c>
      <c r="T124" s="278" t="str">
        <f t="shared" si="15"/>
        <v>N/D</v>
      </c>
      <c r="U124" s="278" t="str">
        <f t="shared" si="15"/>
        <v>N/D</v>
      </c>
      <c r="V124" s="278" t="str">
        <f t="shared" si="15"/>
        <v>N/D</v>
      </c>
      <c r="W124" s="278" t="str">
        <f t="shared" si="15"/>
        <v>N/D</v>
      </c>
      <c r="X124" s="278" t="str">
        <f t="shared" si="15"/>
        <v>N/D</v>
      </c>
      <c r="Y124" s="278" t="str">
        <f t="shared" si="15"/>
        <v>N/D</v>
      </c>
      <c r="Z124" s="278" t="str">
        <f t="shared" si="15"/>
        <v>N/D</v>
      </c>
      <c r="AA124" s="278" t="str">
        <f t="shared" si="15"/>
        <v>N/D</v>
      </c>
      <c r="AB124" s="278" t="str">
        <f t="shared" si="15"/>
        <v>N/D</v>
      </c>
      <c r="AC124" s="278" t="str">
        <f t="shared" si="15"/>
        <v>N/D</v>
      </c>
      <c r="AD124" s="278" t="str">
        <f t="shared" si="15"/>
        <v>N/D</v>
      </c>
      <c r="AE124" s="278" t="str">
        <f t="shared" si="15"/>
        <v>N/D</v>
      </c>
      <c r="AF124" s="278" t="str">
        <f t="shared" si="15"/>
        <v>N/D</v>
      </c>
      <c r="AG124" s="278" t="str">
        <f t="shared" si="15"/>
        <v>N/D</v>
      </c>
      <c r="AH124" s="278" t="str">
        <f t="shared" si="15"/>
        <v>N/D</v>
      </c>
      <c r="AI124" s="278" t="str">
        <f t="shared" si="15"/>
        <v>N/D</v>
      </c>
      <c r="AJ124" s="278" t="str">
        <f t="shared" si="15"/>
        <v>N/D</v>
      </c>
      <c r="AK124" s="278" t="str">
        <f t="shared" si="15"/>
        <v>N/D</v>
      </c>
      <c r="AL124" s="279" t="str">
        <f t="shared" si="15"/>
        <v>N/D</v>
      </c>
    </row>
    <row r="125" spans="2:38" ht="14.25" hidden="1" outlineLevel="1">
      <c r="B125" s="290" t="s">
        <v>279</v>
      </c>
      <c r="C125" s="291"/>
      <c r="D125" s="87" t="s">
        <v>329</v>
      </c>
      <c r="E125" s="329" t="s">
        <v>31</v>
      </c>
      <c r="F125" s="330" t="s">
        <v>31</v>
      </c>
      <c r="G125" s="330" t="s">
        <v>31</v>
      </c>
      <c r="H125" s="331" t="s">
        <v>31</v>
      </c>
      <c r="I125" s="274" t="str">
        <f>IF(I29&lt;0,IF(ROUND(I32+I34+I36+I38+I29,2)=0,"OK",ROUND(I32+I34+I36+I38+I29,2)),"N/D")</f>
        <v>N/D</v>
      </c>
      <c r="J125" s="275" t="str">
        <f aca="true" t="shared" si="16" ref="J125:AL125">IF(J29&lt;0,IF(ROUND(J32+J34+J36+J38+J29,2)=0,"OK",ROUND(J32+J34+J36+J38+J29,2)),"N/D")</f>
        <v>N/D</v>
      </c>
      <c r="K125" s="275" t="str">
        <f t="shared" si="16"/>
        <v>N/D</v>
      </c>
      <c r="L125" s="275" t="str">
        <f t="shared" si="16"/>
        <v>N/D</v>
      </c>
      <c r="M125" s="275" t="str">
        <f t="shared" si="16"/>
        <v>N/D</v>
      </c>
      <c r="N125" s="275" t="str">
        <f t="shared" si="16"/>
        <v>N/D</v>
      </c>
      <c r="O125" s="275" t="str">
        <f t="shared" si="16"/>
        <v>N/D</v>
      </c>
      <c r="P125" s="275" t="str">
        <f t="shared" si="16"/>
        <v>N/D</v>
      </c>
      <c r="Q125" s="275" t="str">
        <f t="shared" si="16"/>
        <v>N/D</v>
      </c>
      <c r="R125" s="275" t="str">
        <f t="shared" si="16"/>
        <v>N/D</v>
      </c>
      <c r="S125" s="275" t="str">
        <f t="shared" si="16"/>
        <v>N/D</v>
      </c>
      <c r="T125" s="275" t="str">
        <f t="shared" si="16"/>
        <v>N/D</v>
      </c>
      <c r="U125" s="275" t="str">
        <f t="shared" si="16"/>
        <v>N/D</v>
      </c>
      <c r="V125" s="275" t="str">
        <f t="shared" si="16"/>
        <v>N/D</v>
      </c>
      <c r="W125" s="275" t="str">
        <f t="shared" si="16"/>
        <v>N/D</v>
      </c>
      <c r="X125" s="275" t="str">
        <f t="shared" si="16"/>
        <v>N/D</v>
      </c>
      <c r="Y125" s="275" t="str">
        <f t="shared" si="16"/>
        <v>N/D</v>
      </c>
      <c r="Z125" s="275" t="str">
        <f t="shared" si="16"/>
        <v>N/D</v>
      </c>
      <c r="AA125" s="275" t="str">
        <f t="shared" si="16"/>
        <v>N/D</v>
      </c>
      <c r="AB125" s="275" t="str">
        <f t="shared" si="16"/>
        <v>N/D</v>
      </c>
      <c r="AC125" s="275" t="str">
        <f t="shared" si="16"/>
        <v>N/D</v>
      </c>
      <c r="AD125" s="275" t="str">
        <f t="shared" si="16"/>
        <v>N/D</v>
      </c>
      <c r="AE125" s="275" t="str">
        <f t="shared" si="16"/>
        <v>N/D</v>
      </c>
      <c r="AF125" s="275" t="str">
        <f t="shared" si="16"/>
        <v>N/D</v>
      </c>
      <c r="AG125" s="275" t="str">
        <f t="shared" si="16"/>
        <v>N/D</v>
      </c>
      <c r="AH125" s="275" t="str">
        <f t="shared" si="16"/>
        <v>N/D</v>
      </c>
      <c r="AI125" s="275" t="str">
        <f t="shared" si="16"/>
        <v>N/D</v>
      </c>
      <c r="AJ125" s="275" t="str">
        <f t="shared" si="16"/>
        <v>N/D</v>
      </c>
      <c r="AK125" s="275" t="str">
        <f t="shared" si="16"/>
        <v>N/D</v>
      </c>
      <c r="AL125" s="276" t="str">
        <f t="shared" si="16"/>
        <v>N/D</v>
      </c>
    </row>
    <row r="126" spans="2:38" ht="14.25" hidden="1" outlineLevel="2">
      <c r="B126" s="290" t="s">
        <v>280</v>
      </c>
      <c r="C126" s="291"/>
      <c r="D126" s="87" t="s">
        <v>330</v>
      </c>
      <c r="E126" s="329" t="s">
        <v>31</v>
      </c>
      <c r="F126" s="330" t="s">
        <v>31</v>
      </c>
      <c r="G126" s="330" t="s">
        <v>31</v>
      </c>
      <c r="H126" s="331" t="s">
        <v>31</v>
      </c>
      <c r="I126" s="274" t="str">
        <f>IF(I29&gt;=0,IF(ROUND(I32+I34+I36+I38,2)=0,"OK",ROUND(I32+I34+I36+I38,2)),"N/D")</f>
        <v>OK</v>
      </c>
      <c r="J126" s="275" t="str">
        <f aca="true" t="shared" si="17" ref="J126:AL126">IF(J29&gt;=0,IF(ROUND(J32+J34+J36+J38,2)=0,"OK",ROUND(J32+J34+J36+J38,2)),"N/D")</f>
        <v>OK</v>
      </c>
      <c r="K126" s="275" t="str">
        <f t="shared" si="17"/>
        <v>OK</v>
      </c>
      <c r="L126" s="275" t="str">
        <f t="shared" si="17"/>
        <v>OK</v>
      </c>
      <c r="M126" s="275" t="str">
        <f t="shared" si="17"/>
        <v>OK</v>
      </c>
      <c r="N126" s="275" t="str">
        <f t="shared" si="17"/>
        <v>OK</v>
      </c>
      <c r="O126" s="275" t="str">
        <f t="shared" si="17"/>
        <v>OK</v>
      </c>
      <c r="P126" s="275" t="str">
        <f t="shared" si="17"/>
        <v>OK</v>
      </c>
      <c r="Q126" s="275" t="str">
        <f t="shared" si="17"/>
        <v>OK</v>
      </c>
      <c r="R126" s="275" t="str">
        <f t="shared" si="17"/>
        <v>OK</v>
      </c>
      <c r="S126" s="275" t="str">
        <f t="shared" si="17"/>
        <v>OK</v>
      </c>
      <c r="T126" s="275" t="str">
        <f t="shared" si="17"/>
        <v>OK</v>
      </c>
      <c r="U126" s="275" t="str">
        <f t="shared" si="17"/>
        <v>OK</v>
      </c>
      <c r="V126" s="275" t="str">
        <f t="shared" si="17"/>
        <v>OK</v>
      </c>
      <c r="W126" s="275" t="str">
        <f t="shared" si="17"/>
        <v>OK</v>
      </c>
      <c r="X126" s="275" t="str">
        <f t="shared" si="17"/>
        <v>OK</v>
      </c>
      <c r="Y126" s="275" t="str">
        <f t="shared" si="17"/>
        <v>OK</v>
      </c>
      <c r="Z126" s="275" t="str">
        <f t="shared" si="17"/>
        <v>OK</v>
      </c>
      <c r="AA126" s="275" t="str">
        <f t="shared" si="17"/>
        <v>OK</v>
      </c>
      <c r="AB126" s="275" t="str">
        <f t="shared" si="17"/>
        <v>OK</v>
      </c>
      <c r="AC126" s="275" t="str">
        <f t="shared" si="17"/>
        <v>OK</v>
      </c>
      <c r="AD126" s="275" t="str">
        <f t="shared" si="17"/>
        <v>OK</v>
      </c>
      <c r="AE126" s="275" t="str">
        <f t="shared" si="17"/>
        <v>OK</v>
      </c>
      <c r="AF126" s="275" t="str">
        <f t="shared" si="17"/>
        <v>OK</v>
      </c>
      <c r="AG126" s="275" t="str">
        <f t="shared" si="17"/>
        <v>OK</v>
      </c>
      <c r="AH126" s="275" t="str">
        <f t="shared" si="17"/>
        <v>OK</v>
      </c>
      <c r="AI126" s="275" t="str">
        <f t="shared" si="17"/>
        <v>OK</v>
      </c>
      <c r="AJ126" s="275" t="str">
        <f t="shared" si="17"/>
        <v>OK</v>
      </c>
      <c r="AK126" s="275" t="str">
        <f t="shared" si="17"/>
        <v>OK</v>
      </c>
      <c r="AL126" s="276" t="str">
        <f t="shared" si="17"/>
        <v>OK</v>
      </c>
    </row>
    <row r="127" spans="2:38" ht="14.25" hidden="1" outlineLevel="2">
      <c r="B127" s="290" t="s">
        <v>281</v>
      </c>
      <c r="C127" s="291"/>
      <c r="D127" s="87" t="s">
        <v>332</v>
      </c>
      <c r="E127" s="329" t="s">
        <v>31</v>
      </c>
      <c r="F127" s="330" t="s">
        <v>31</v>
      </c>
      <c r="G127" s="330" t="s">
        <v>31</v>
      </c>
      <c r="H127" s="331" t="s">
        <v>31</v>
      </c>
      <c r="I127" s="272" t="str">
        <f aca="true" t="shared" si="18" ref="I127:AL127">IF(I14&gt;=I15,"OK","BŁĄD")</f>
        <v>OK</v>
      </c>
      <c r="J127" s="265" t="str">
        <f t="shared" si="18"/>
        <v>OK</v>
      </c>
      <c r="K127" s="265" t="str">
        <f t="shared" si="18"/>
        <v>OK</v>
      </c>
      <c r="L127" s="265" t="str">
        <f t="shared" si="18"/>
        <v>OK</v>
      </c>
      <c r="M127" s="265" t="str">
        <f t="shared" si="18"/>
        <v>OK</v>
      </c>
      <c r="N127" s="265" t="str">
        <f t="shared" si="18"/>
        <v>OK</v>
      </c>
      <c r="O127" s="265" t="str">
        <f t="shared" si="18"/>
        <v>OK</v>
      </c>
      <c r="P127" s="265" t="str">
        <f t="shared" si="18"/>
        <v>OK</v>
      </c>
      <c r="Q127" s="265" t="str">
        <f t="shared" si="18"/>
        <v>OK</v>
      </c>
      <c r="R127" s="265" t="str">
        <f t="shared" si="18"/>
        <v>OK</v>
      </c>
      <c r="S127" s="265" t="str">
        <f t="shared" si="18"/>
        <v>OK</v>
      </c>
      <c r="T127" s="265" t="str">
        <f t="shared" si="18"/>
        <v>OK</v>
      </c>
      <c r="U127" s="265" t="str">
        <f t="shared" si="18"/>
        <v>OK</v>
      </c>
      <c r="V127" s="265" t="str">
        <f t="shared" si="18"/>
        <v>OK</v>
      </c>
      <c r="W127" s="265" t="str">
        <f t="shared" si="18"/>
        <v>OK</v>
      </c>
      <c r="X127" s="265" t="str">
        <f t="shared" si="18"/>
        <v>OK</v>
      </c>
      <c r="Y127" s="265" t="str">
        <f t="shared" si="18"/>
        <v>OK</v>
      </c>
      <c r="Z127" s="265" t="str">
        <f t="shared" si="18"/>
        <v>OK</v>
      </c>
      <c r="AA127" s="265" t="str">
        <f t="shared" si="18"/>
        <v>OK</v>
      </c>
      <c r="AB127" s="265" t="str">
        <f t="shared" si="18"/>
        <v>OK</v>
      </c>
      <c r="AC127" s="265" t="str">
        <f t="shared" si="18"/>
        <v>OK</v>
      </c>
      <c r="AD127" s="265" t="str">
        <f t="shared" si="18"/>
        <v>OK</v>
      </c>
      <c r="AE127" s="265" t="str">
        <f t="shared" si="18"/>
        <v>OK</v>
      </c>
      <c r="AF127" s="265" t="str">
        <f t="shared" si="18"/>
        <v>OK</v>
      </c>
      <c r="AG127" s="265" t="str">
        <f t="shared" si="18"/>
        <v>OK</v>
      </c>
      <c r="AH127" s="265" t="str">
        <f t="shared" si="18"/>
        <v>OK</v>
      </c>
      <c r="AI127" s="265" t="str">
        <f t="shared" si="18"/>
        <v>OK</v>
      </c>
      <c r="AJ127" s="265" t="str">
        <f t="shared" si="18"/>
        <v>OK</v>
      </c>
      <c r="AK127" s="265" t="str">
        <f t="shared" si="18"/>
        <v>OK</v>
      </c>
      <c r="AL127" s="266" t="str">
        <f t="shared" si="18"/>
        <v>OK</v>
      </c>
    </row>
    <row r="128" spans="2:38" ht="14.25" hidden="1" outlineLevel="2">
      <c r="B128" s="290" t="s">
        <v>282</v>
      </c>
      <c r="C128" s="291"/>
      <c r="D128" s="87" t="s">
        <v>333</v>
      </c>
      <c r="E128" s="329" t="s">
        <v>31</v>
      </c>
      <c r="F128" s="330" t="s">
        <v>31</v>
      </c>
      <c r="G128" s="330" t="s">
        <v>31</v>
      </c>
      <c r="H128" s="331" t="s">
        <v>31</v>
      </c>
      <c r="I128" s="272" t="str">
        <f aca="true" t="shared" si="19" ref="I128:AL128">IF(I17&gt;=I91,"OK","BŁĄD")</f>
        <v>OK</v>
      </c>
      <c r="J128" s="265" t="str">
        <f t="shared" si="19"/>
        <v>OK</v>
      </c>
      <c r="K128" s="265" t="str">
        <f t="shared" si="19"/>
        <v>OK</v>
      </c>
      <c r="L128" s="265" t="str">
        <f t="shared" si="19"/>
        <v>OK</v>
      </c>
      <c r="M128" s="265" t="str">
        <f t="shared" si="19"/>
        <v>OK</v>
      </c>
      <c r="N128" s="265" t="str">
        <f t="shared" si="19"/>
        <v>OK</v>
      </c>
      <c r="O128" s="265" t="str">
        <f t="shared" si="19"/>
        <v>OK</v>
      </c>
      <c r="P128" s="265" t="str">
        <f t="shared" si="19"/>
        <v>OK</v>
      </c>
      <c r="Q128" s="265" t="str">
        <f t="shared" si="19"/>
        <v>OK</v>
      </c>
      <c r="R128" s="265" t="str">
        <f t="shared" si="19"/>
        <v>OK</v>
      </c>
      <c r="S128" s="265" t="str">
        <f t="shared" si="19"/>
        <v>OK</v>
      </c>
      <c r="T128" s="265" t="str">
        <f t="shared" si="19"/>
        <v>OK</v>
      </c>
      <c r="U128" s="265" t="str">
        <f t="shared" si="19"/>
        <v>OK</v>
      </c>
      <c r="V128" s="265" t="str">
        <f t="shared" si="19"/>
        <v>OK</v>
      </c>
      <c r="W128" s="265" t="str">
        <f t="shared" si="19"/>
        <v>OK</v>
      </c>
      <c r="X128" s="265" t="str">
        <f t="shared" si="19"/>
        <v>OK</v>
      </c>
      <c r="Y128" s="265" t="str">
        <f t="shared" si="19"/>
        <v>OK</v>
      </c>
      <c r="Z128" s="265" t="str">
        <f t="shared" si="19"/>
        <v>OK</v>
      </c>
      <c r="AA128" s="265" t="str">
        <f t="shared" si="19"/>
        <v>OK</v>
      </c>
      <c r="AB128" s="265" t="str">
        <f t="shared" si="19"/>
        <v>OK</v>
      </c>
      <c r="AC128" s="265" t="str">
        <f t="shared" si="19"/>
        <v>OK</v>
      </c>
      <c r="AD128" s="265" t="str">
        <f t="shared" si="19"/>
        <v>OK</v>
      </c>
      <c r="AE128" s="265" t="str">
        <f t="shared" si="19"/>
        <v>OK</v>
      </c>
      <c r="AF128" s="265" t="str">
        <f t="shared" si="19"/>
        <v>OK</v>
      </c>
      <c r="AG128" s="265" t="str">
        <f t="shared" si="19"/>
        <v>OK</v>
      </c>
      <c r="AH128" s="265" t="str">
        <f t="shared" si="19"/>
        <v>OK</v>
      </c>
      <c r="AI128" s="265" t="str">
        <f t="shared" si="19"/>
        <v>OK</v>
      </c>
      <c r="AJ128" s="265" t="str">
        <f t="shared" si="19"/>
        <v>OK</v>
      </c>
      <c r="AK128" s="265" t="str">
        <f t="shared" si="19"/>
        <v>OK</v>
      </c>
      <c r="AL128" s="266" t="str">
        <f t="shared" si="19"/>
        <v>OK</v>
      </c>
    </row>
    <row r="129" spans="2:38" ht="14.25" hidden="1" outlineLevel="2">
      <c r="B129" s="290" t="s">
        <v>283</v>
      </c>
      <c r="C129" s="291"/>
      <c r="D129" s="87" t="s">
        <v>334</v>
      </c>
      <c r="E129" s="329" t="s">
        <v>31</v>
      </c>
      <c r="F129" s="330" t="s">
        <v>31</v>
      </c>
      <c r="G129" s="330" t="s">
        <v>31</v>
      </c>
      <c r="H129" s="331" t="s">
        <v>31</v>
      </c>
      <c r="I129" s="272" t="str">
        <f aca="true" t="shared" si="20" ref="I129:AL129">IF(I11&gt;=I12+I13+I14+I16+I17,"OK","BŁĄD")</f>
        <v>OK</v>
      </c>
      <c r="J129" s="265" t="str">
        <f t="shared" si="20"/>
        <v>OK</v>
      </c>
      <c r="K129" s="265" t="str">
        <f t="shared" si="20"/>
        <v>OK</v>
      </c>
      <c r="L129" s="265" t="str">
        <f t="shared" si="20"/>
        <v>OK</v>
      </c>
      <c r="M129" s="265" t="str">
        <f t="shared" si="20"/>
        <v>OK</v>
      </c>
      <c r="N129" s="265" t="str">
        <f t="shared" si="20"/>
        <v>OK</v>
      </c>
      <c r="O129" s="265" t="str">
        <f t="shared" si="20"/>
        <v>OK</v>
      </c>
      <c r="P129" s="265" t="str">
        <f t="shared" si="20"/>
        <v>OK</v>
      </c>
      <c r="Q129" s="265" t="str">
        <f t="shared" si="20"/>
        <v>OK</v>
      </c>
      <c r="R129" s="265" t="str">
        <f t="shared" si="20"/>
        <v>OK</v>
      </c>
      <c r="S129" s="265" t="str">
        <f t="shared" si="20"/>
        <v>OK</v>
      </c>
      <c r="T129" s="265" t="str">
        <f t="shared" si="20"/>
        <v>OK</v>
      </c>
      <c r="U129" s="265" t="str">
        <f t="shared" si="20"/>
        <v>OK</v>
      </c>
      <c r="V129" s="265" t="str">
        <f t="shared" si="20"/>
        <v>OK</v>
      </c>
      <c r="W129" s="265" t="str">
        <f t="shared" si="20"/>
        <v>OK</v>
      </c>
      <c r="X129" s="265" t="str">
        <f t="shared" si="20"/>
        <v>OK</v>
      </c>
      <c r="Y129" s="265" t="str">
        <f t="shared" si="20"/>
        <v>OK</v>
      </c>
      <c r="Z129" s="265" t="str">
        <f t="shared" si="20"/>
        <v>OK</v>
      </c>
      <c r="AA129" s="265" t="str">
        <f t="shared" si="20"/>
        <v>OK</v>
      </c>
      <c r="AB129" s="265" t="str">
        <f t="shared" si="20"/>
        <v>OK</v>
      </c>
      <c r="AC129" s="265" t="str">
        <f t="shared" si="20"/>
        <v>OK</v>
      </c>
      <c r="AD129" s="265" t="str">
        <f t="shared" si="20"/>
        <v>OK</v>
      </c>
      <c r="AE129" s="265" t="str">
        <f t="shared" si="20"/>
        <v>OK</v>
      </c>
      <c r="AF129" s="265" t="str">
        <f t="shared" si="20"/>
        <v>OK</v>
      </c>
      <c r="AG129" s="265" t="str">
        <f t="shared" si="20"/>
        <v>OK</v>
      </c>
      <c r="AH129" s="265" t="str">
        <f t="shared" si="20"/>
        <v>OK</v>
      </c>
      <c r="AI129" s="265" t="str">
        <f t="shared" si="20"/>
        <v>OK</v>
      </c>
      <c r="AJ129" s="265" t="str">
        <f t="shared" si="20"/>
        <v>OK</v>
      </c>
      <c r="AK129" s="265" t="str">
        <f t="shared" si="20"/>
        <v>OK</v>
      </c>
      <c r="AL129" s="266" t="str">
        <f t="shared" si="20"/>
        <v>OK</v>
      </c>
    </row>
    <row r="130" spans="2:38" ht="14.25" hidden="1" outlineLevel="2">
      <c r="B130" s="290" t="s">
        <v>284</v>
      </c>
      <c r="C130" s="291"/>
      <c r="D130" s="87" t="s">
        <v>335</v>
      </c>
      <c r="E130" s="329" t="s">
        <v>31</v>
      </c>
      <c r="F130" s="330" t="s">
        <v>31</v>
      </c>
      <c r="G130" s="330" t="s">
        <v>31</v>
      </c>
      <c r="H130" s="331" t="s">
        <v>31</v>
      </c>
      <c r="I130" s="272" t="str">
        <f aca="true" t="shared" si="21" ref="I130:AL130">IF(I11&gt;=I77,"OK","BŁĄD")</f>
        <v>OK</v>
      </c>
      <c r="J130" s="265" t="str">
        <f t="shared" si="21"/>
        <v>OK</v>
      </c>
      <c r="K130" s="265" t="str">
        <f t="shared" si="21"/>
        <v>OK</v>
      </c>
      <c r="L130" s="265" t="str">
        <f t="shared" si="21"/>
        <v>OK</v>
      </c>
      <c r="M130" s="265" t="str">
        <f t="shared" si="21"/>
        <v>OK</v>
      </c>
      <c r="N130" s="265" t="str">
        <f t="shared" si="21"/>
        <v>OK</v>
      </c>
      <c r="O130" s="265" t="str">
        <f t="shared" si="21"/>
        <v>OK</v>
      </c>
      <c r="P130" s="265" t="str">
        <f t="shared" si="21"/>
        <v>OK</v>
      </c>
      <c r="Q130" s="265" t="str">
        <f t="shared" si="21"/>
        <v>OK</v>
      </c>
      <c r="R130" s="265" t="str">
        <f t="shared" si="21"/>
        <v>OK</v>
      </c>
      <c r="S130" s="265" t="str">
        <f t="shared" si="21"/>
        <v>OK</v>
      </c>
      <c r="T130" s="265" t="str">
        <f t="shared" si="21"/>
        <v>OK</v>
      </c>
      <c r="U130" s="265" t="str">
        <f t="shared" si="21"/>
        <v>OK</v>
      </c>
      <c r="V130" s="265" t="str">
        <f t="shared" si="21"/>
        <v>OK</v>
      </c>
      <c r="W130" s="265" t="str">
        <f t="shared" si="21"/>
        <v>OK</v>
      </c>
      <c r="X130" s="265" t="str">
        <f t="shared" si="21"/>
        <v>OK</v>
      </c>
      <c r="Y130" s="265" t="str">
        <f t="shared" si="21"/>
        <v>OK</v>
      </c>
      <c r="Z130" s="265" t="str">
        <f t="shared" si="21"/>
        <v>OK</v>
      </c>
      <c r="AA130" s="265" t="str">
        <f t="shared" si="21"/>
        <v>OK</v>
      </c>
      <c r="AB130" s="265" t="str">
        <f t="shared" si="21"/>
        <v>OK</v>
      </c>
      <c r="AC130" s="265" t="str">
        <f t="shared" si="21"/>
        <v>OK</v>
      </c>
      <c r="AD130" s="265" t="str">
        <f t="shared" si="21"/>
        <v>OK</v>
      </c>
      <c r="AE130" s="265" t="str">
        <f t="shared" si="21"/>
        <v>OK</v>
      </c>
      <c r="AF130" s="265" t="str">
        <f t="shared" si="21"/>
        <v>OK</v>
      </c>
      <c r="AG130" s="265" t="str">
        <f t="shared" si="21"/>
        <v>OK</v>
      </c>
      <c r="AH130" s="265" t="str">
        <f t="shared" si="21"/>
        <v>OK</v>
      </c>
      <c r="AI130" s="265" t="str">
        <f t="shared" si="21"/>
        <v>OK</v>
      </c>
      <c r="AJ130" s="265" t="str">
        <f t="shared" si="21"/>
        <v>OK</v>
      </c>
      <c r="AK130" s="265" t="str">
        <f t="shared" si="21"/>
        <v>OK</v>
      </c>
      <c r="AL130" s="266" t="str">
        <f t="shared" si="21"/>
        <v>OK</v>
      </c>
    </row>
    <row r="131" spans="2:38" ht="14.25" hidden="1" outlineLevel="2">
      <c r="B131" s="290" t="s">
        <v>285</v>
      </c>
      <c r="C131" s="291"/>
      <c r="D131" s="87" t="s">
        <v>336</v>
      </c>
      <c r="E131" s="329" t="s">
        <v>31</v>
      </c>
      <c r="F131" s="330" t="s">
        <v>31</v>
      </c>
      <c r="G131" s="330" t="s">
        <v>31</v>
      </c>
      <c r="H131" s="331" t="s">
        <v>31</v>
      </c>
      <c r="I131" s="272" t="str">
        <f aca="true" t="shared" si="22" ref="I131:AL131">IF(I18&gt;=I19,"OK","BŁĄD")</f>
        <v>OK</v>
      </c>
      <c r="J131" s="265" t="str">
        <f t="shared" si="22"/>
        <v>OK</v>
      </c>
      <c r="K131" s="265" t="str">
        <f t="shared" si="22"/>
        <v>OK</v>
      </c>
      <c r="L131" s="265" t="str">
        <f t="shared" si="22"/>
        <v>OK</v>
      </c>
      <c r="M131" s="265" t="str">
        <f t="shared" si="22"/>
        <v>OK</v>
      </c>
      <c r="N131" s="265" t="str">
        <f t="shared" si="22"/>
        <v>OK</v>
      </c>
      <c r="O131" s="265" t="str">
        <f t="shared" si="22"/>
        <v>OK</v>
      </c>
      <c r="P131" s="265" t="str">
        <f t="shared" si="22"/>
        <v>OK</v>
      </c>
      <c r="Q131" s="265" t="str">
        <f t="shared" si="22"/>
        <v>OK</v>
      </c>
      <c r="R131" s="265" t="str">
        <f t="shared" si="22"/>
        <v>OK</v>
      </c>
      <c r="S131" s="265" t="str">
        <f t="shared" si="22"/>
        <v>OK</v>
      </c>
      <c r="T131" s="265" t="str">
        <f t="shared" si="22"/>
        <v>OK</v>
      </c>
      <c r="U131" s="265" t="str">
        <f t="shared" si="22"/>
        <v>OK</v>
      </c>
      <c r="V131" s="265" t="str">
        <f t="shared" si="22"/>
        <v>OK</v>
      </c>
      <c r="W131" s="265" t="str">
        <f t="shared" si="22"/>
        <v>OK</v>
      </c>
      <c r="X131" s="265" t="str">
        <f t="shared" si="22"/>
        <v>OK</v>
      </c>
      <c r="Y131" s="265" t="str">
        <f t="shared" si="22"/>
        <v>OK</v>
      </c>
      <c r="Z131" s="265" t="str">
        <f t="shared" si="22"/>
        <v>OK</v>
      </c>
      <c r="AA131" s="265" t="str">
        <f t="shared" si="22"/>
        <v>OK</v>
      </c>
      <c r="AB131" s="265" t="str">
        <f t="shared" si="22"/>
        <v>OK</v>
      </c>
      <c r="AC131" s="265" t="str">
        <f t="shared" si="22"/>
        <v>OK</v>
      </c>
      <c r="AD131" s="265" t="str">
        <f t="shared" si="22"/>
        <v>OK</v>
      </c>
      <c r="AE131" s="265" t="str">
        <f t="shared" si="22"/>
        <v>OK</v>
      </c>
      <c r="AF131" s="265" t="str">
        <f t="shared" si="22"/>
        <v>OK</v>
      </c>
      <c r="AG131" s="265" t="str">
        <f t="shared" si="22"/>
        <v>OK</v>
      </c>
      <c r="AH131" s="265" t="str">
        <f t="shared" si="22"/>
        <v>OK</v>
      </c>
      <c r="AI131" s="265" t="str">
        <f t="shared" si="22"/>
        <v>OK</v>
      </c>
      <c r="AJ131" s="265" t="str">
        <f t="shared" si="22"/>
        <v>OK</v>
      </c>
      <c r="AK131" s="265" t="str">
        <f t="shared" si="22"/>
        <v>OK</v>
      </c>
      <c r="AL131" s="266" t="str">
        <f t="shared" si="22"/>
        <v>OK</v>
      </c>
    </row>
    <row r="132" spans="2:38" ht="14.25" hidden="1" outlineLevel="2">
      <c r="B132" s="290" t="s">
        <v>286</v>
      </c>
      <c r="C132" s="291"/>
      <c r="D132" s="87" t="s">
        <v>337</v>
      </c>
      <c r="E132" s="329" t="s">
        <v>31</v>
      </c>
      <c r="F132" s="330" t="s">
        <v>31</v>
      </c>
      <c r="G132" s="330" t="s">
        <v>31</v>
      </c>
      <c r="H132" s="331" t="s">
        <v>31</v>
      </c>
      <c r="I132" s="272" t="str">
        <f aca="true" t="shared" si="23" ref="I132:AL132">IF(I18&gt;=I20,"OK","BŁĄD")</f>
        <v>OK</v>
      </c>
      <c r="J132" s="265" t="str">
        <f t="shared" si="23"/>
        <v>OK</v>
      </c>
      <c r="K132" s="265" t="str">
        <f t="shared" si="23"/>
        <v>OK</v>
      </c>
      <c r="L132" s="265" t="str">
        <f t="shared" si="23"/>
        <v>OK</v>
      </c>
      <c r="M132" s="265" t="str">
        <f t="shared" si="23"/>
        <v>OK</v>
      </c>
      <c r="N132" s="265" t="str">
        <f t="shared" si="23"/>
        <v>OK</v>
      </c>
      <c r="O132" s="265" t="str">
        <f t="shared" si="23"/>
        <v>OK</v>
      </c>
      <c r="P132" s="265" t="str">
        <f t="shared" si="23"/>
        <v>OK</v>
      </c>
      <c r="Q132" s="265" t="str">
        <f t="shared" si="23"/>
        <v>OK</v>
      </c>
      <c r="R132" s="265" t="str">
        <f t="shared" si="23"/>
        <v>OK</v>
      </c>
      <c r="S132" s="265" t="str">
        <f t="shared" si="23"/>
        <v>OK</v>
      </c>
      <c r="T132" s="265" t="str">
        <f t="shared" si="23"/>
        <v>OK</v>
      </c>
      <c r="U132" s="265" t="str">
        <f t="shared" si="23"/>
        <v>OK</v>
      </c>
      <c r="V132" s="265" t="str">
        <f t="shared" si="23"/>
        <v>OK</v>
      </c>
      <c r="W132" s="265" t="str">
        <f t="shared" si="23"/>
        <v>OK</v>
      </c>
      <c r="X132" s="265" t="str">
        <f t="shared" si="23"/>
        <v>OK</v>
      </c>
      <c r="Y132" s="265" t="str">
        <f t="shared" si="23"/>
        <v>OK</v>
      </c>
      <c r="Z132" s="265" t="str">
        <f t="shared" si="23"/>
        <v>OK</v>
      </c>
      <c r="AA132" s="265" t="str">
        <f t="shared" si="23"/>
        <v>OK</v>
      </c>
      <c r="AB132" s="265" t="str">
        <f t="shared" si="23"/>
        <v>OK</v>
      </c>
      <c r="AC132" s="265" t="str">
        <f t="shared" si="23"/>
        <v>OK</v>
      </c>
      <c r="AD132" s="265" t="str">
        <f t="shared" si="23"/>
        <v>OK</v>
      </c>
      <c r="AE132" s="265" t="str">
        <f t="shared" si="23"/>
        <v>OK</v>
      </c>
      <c r="AF132" s="265" t="str">
        <f t="shared" si="23"/>
        <v>OK</v>
      </c>
      <c r="AG132" s="265" t="str">
        <f t="shared" si="23"/>
        <v>OK</v>
      </c>
      <c r="AH132" s="265" t="str">
        <f t="shared" si="23"/>
        <v>OK</v>
      </c>
      <c r="AI132" s="265" t="str">
        <f t="shared" si="23"/>
        <v>OK</v>
      </c>
      <c r="AJ132" s="265" t="str">
        <f t="shared" si="23"/>
        <v>OK</v>
      </c>
      <c r="AK132" s="265" t="str">
        <f t="shared" si="23"/>
        <v>OK</v>
      </c>
      <c r="AL132" s="266" t="str">
        <f t="shared" si="23"/>
        <v>OK</v>
      </c>
    </row>
    <row r="133" spans="2:38" ht="14.25" hidden="1" outlineLevel="2">
      <c r="B133" s="290" t="s">
        <v>287</v>
      </c>
      <c r="C133" s="291"/>
      <c r="D133" s="87" t="s">
        <v>338</v>
      </c>
      <c r="E133" s="329" t="s">
        <v>31</v>
      </c>
      <c r="F133" s="330" t="s">
        <v>31</v>
      </c>
      <c r="G133" s="330" t="s">
        <v>31</v>
      </c>
      <c r="H133" s="331" t="s">
        <v>31</v>
      </c>
      <c r="I133" s="272" t="str">
        <f aca="true" t="shared" si="24" ref="I133:AL133">IF(I18&gt;=I80,"OK","BŁĄD")</f>
        <v>OK</v>
      </c>
      <c r="J133" s="265" t="str">
        <f t="shared" si="24"/>
        <v>OK</v>
      </c>
      <c r="K133" s="265" t="str">
        <f t="shared" si="24"/>
        <v>OK</v>
      </c>
      <c r="L133" s="265" t="str">
        <f t="shared" si="24"/>
        <v>OK</v>
      </c>
      <c r="M133" s="265" t="str">
        <f t="shared" si="24"/>
        <v>OK</v>
      </c>
      <c r="N133" s="265" t="str">
        <f t="shared" si="24"/>
        <v>OK</v>
      </c>
      <c r="O133" s="265" t="str">
        <f t="shared" si="24"/>
        <v>OK</v>
      </c>
      <c r="P133" s="265" t="str">
        <f t="shared" si="24"/>
        <v>OK</v>
      </c>
      <c r="Q133" s="265" t="str">
        <f t="shared" si="24"/>
        <v>OK</v>
      </c>
      <c r="R133" s="265" t="str">
        <f t="shared" si="24"/>
        <v>OK</v>
      </c>
      <c r="S133" s="265" t="str">
        <f t="shared" si="24"/>
        <v>OK</v>
      </c>
      <c r="T133" s="265" t="str">
        <f t="shared" si="24"/>
        <v>OK</v>
      </c>
      <c r="U133" s="265" t="str">
        <f t="shared" si="24"/>
        <v>OK</v>
      </c>
      <c r="V133" s="265" t="str">
        <f t="shared" si="24"/>
        <v>OK</v>
      </c>
      <c r="W133" s="265" t="str">
        <f t="shared" si="24"/>
        <v>OK</v>
      </c>
      <c r="X133" s="265" t="str">
        <f t="shared" si="24"/>
        <v>OK</v>
      </c>
      <c r="Y133" s="265" t="str">
        <f t="shared" si="24"/>
        <v>OK</v>
      </c>
      <c r="Z133" s="265" t="str">
        <f t="shared" si="24"/>
        <v>OK</v>
      </c>
      <c r="AA133" s="265" t="str">
        <f t="shared" si="24"/>
        <v>OK</v>
      </c>
      <c r="AB133" s="265" t="str">
        <f t="shared" si="24"/>
        <v>OK</v>
      </c>
      <c r="AC133" s="265" t="str">
        <f t="shared" si="24"/>
        <v>OK</v>
      </c>
      <c r="AD133" s="265" t="str">
        <f t="shared" si="24"/>
        <v>OK</v>
      </c>
      <c r="AE133" s="265" t="str">
        <f t="shared" si="24"/>
        <v>OK</v>
      </c>
      <c r="AF133" s="265" t="str">
        <f t="shared" si="24"/>
        <v>OK</v>
      </c>
      <c r="AG133" s="265" t="str">
        <f t="shared" si="24"/>
        <v>OK</v>
      </c>
      <c r="AH133" s="265" t="str">
        <f t="shared" si="24"/>
        <v>OK</v>
      </c>
      <c r="AI133" s="265" t="str">
        <f t="shared" si="24"/>
        <v>OK</v>
      </c>
      <c r="AJ133" s="265" t="str">
        <f t="shared" si="24"/>
        <v>OK</v>
      </c>
      <c r="AK133" s="265" t="str">
        <f t="shared" si="24"/>
        <v>OK</v>
      </c>
      <c r="AL133" s="266" t="str">
        <f t="shared" si="24"/>
        <v>OK</v>
      </c>
    </row>
    <row r="134" spans="2:38" ht="14.25" hidden="1" outlineLevel="2">
      <c r="B134" s="290" t="s">
        <v>288</v>
      </c>
      <c r="C134" s="291"/>
      <c r="D134" s="87" t="s">
        <v>339</v>
      </c>
      <c r="E134" s="329" t="s">
        <v>31</v>
      </c>
      <c r="F134" s="330" t="s">
        <v>31</v>
      </c>
      <c r="G134" s="330" t="s">
        <v>31</v>
      </c>
      <c r="H134" s="331" t="s">
        <v>31</v>
      </c>
      <c r="I134" s="272" t="str">
        <f aca="true" t="shared" si="25" ref="I134:AL134">IF(I65&gt;=I66,"OK","BŁĄD")</f>
        <v>OK</v>
      </c>
      <c r="J134" s="265" t="str">
        <f t="shared" si="25"/>
        <v>OK</v>
      </c>
      <c r="K134" s="265" t="str">
        <f t="shared" si="25"/>
        <v>OK</v>
      </c>
      <c r="L134" s="265" t="str">
        <f t="shared" si="25"/>
        <v>OK</v>
      </c>
      <c r="M134" s="265" t="str">
        <f t="shared" si="25"/>
        <v>OK</v>
      </c>
      <c r="N134" s="265" t="str">
        <f t="shared" si="25"/>
        <v>OK</v>
      </c>
      <c r="O134" s="265" t="str">
        <f t="shared" si="25"/>
        <v>OK</v>
      </c>
      <c r="P134" s="265" t="str">
        <f t="shared" si="25"/>
        <v>OK</v>
      </c>
      <c r="Q134" s="265" t="str">
        <f t="shared" si="25"/>
        <v>OK</v>
      </c>
      <c r="R134" s="265" t="str">
        <f t="shared" si="25"/>
        <v>OK</v>
      </c>
      <c r="S134" s="265" t="str">
        <f t="shared" si="25"/>
        <v>OK</v>
      </c>
      <c r="T134" s="265" t="str">
        <f t="shared" si="25"/>
        <v>OK</v>
      </c>
      <c r="U134" s="265" t="str">
        <f t="shared" si="25"/>
        <v>OK</v>
      </c>
      <c r="V134" s="265" t="str">
        <f t="shared" si="25"/>
        <v>OK</v>
      </c>
      <c r="W134" s="265" t="str">
        <f t="shared" si="25"/>
        <v>OK</v>
      </c>
      <c r="X134" s="265" t="str">
        <f t="shared" si="25"/>
        <v>OK</v>
      </c>
      <c r="Y134" s="265" t="str">
        <f t="shared" si="25"/>
        <v>OK</v>
      </c>
      <c r="Z134" s="265" t="str">
        <f t="shared" si="25"/>
        <v>OK</v>
      </c>
      <c r="AA134" s="265" t="str">
        <f t="shared" si="25"/>
        <v>OK</v>
      </c>
      <c r="AB134" s="265" t="str">
        <f t="shared" si="25"/>
        <v>OK</v>
      </c>
      <c r="AC134" s="265" t="str">
        <f t="shared" si="25"/>
        <v>OK</v>
      </c>
      <c r="AD134" s="265" t="str">
        <f t="shared" si="25"/>
        <v>OK</v>
      </c>
      <c r="AE134" s="265" t="str">
        <f t="shared" si="25"/>
        <v>OK</v>
      </c>
      <c r="AF134" s="265" t="str">
        <f t="shared" si="25"/>
        <v>OK</v>
      </c>
      <c r="AG134" s="265" t="str">
        <f t="shared" si="25"/>
        <v>OK</v>
      </c>
      <c r="AH134" s="265" t="str">
        <f t="shared" si="25"/>
        <v>OK</v>
      </c>
      <c r="AI134" s="265" t="str">
        <f t="shared" si="25"/>
        <v>OK</v>
      </c>
      <c r="AJ134" s="265" t="str">
        <f t="shared" si="25"/>
        <v>OK</v>
      </c>
      <c r="AK134" s="265" t="str">
        <f t="shared" si="25"/>
        <v>OK</v>
      </c>
      <c r="AL134" s="266" t="str">
        <f t="shared" si="25"/>
        <v>OK</v>
      </c>
    </row>
    <row r="135" spans="2:38" ht="14.25" hidden="1" outlineLevel="2">
      <c r="B135" s="290" t="s">
        <v>290</v>
      </c>
      <c r="C135" s="291"/>
      <c r="D135" s="87" t="s">
        <v>341</v>
      </c>
      <c r="E135" s="329" t="s">
        <v>31</v>
      </c>
      <c r="F135" s="330" t="s">
        <v>31</v>
      </c>
      <c r="G135" s="330" t="s">
        <v>31</v>
      </c>
      <c r="H135" s="331" t="s">
        <v>31</v>
      </c>
      <c r="I135" s="272" t="str">
        <f aca="true" t="shared" si="26" ref="I135:AL135">IF(I77&gt;=I78,"OK","BŁĄD")</f>
        <v>OK</v>
      </c>
      <c r="J135" s="265" t="str">
        <f t="shared" si="26"/>
        <v>OK</v>
      </c>
      <c r="K135" s="265" t="str">
        <f t="shared" si="26"/>
        <v>OK</v>
      </c>
      <c r="L135" s="265" t="str">
        <f t="shared" si="26"/>
        <v>OK</v>
      </c>
      <c r="M135" s="265" t="str">
        <f t="shared" si="26"/>
        <v>OK</v>
      </c>
      <c r="N135" s="265" t="str">
        <f t="shared" si="26"/>
        <v>OK</v>
      </c>
      <c r="O135" s="265" t="str">
        <f t="shared" si="26"/>
        <v>OK</v>
      </c>
      <c r="P135" s="265" t="str">
        <f t="shared" si="26"/>
        <v>OK</v>
      </c>
      <c r="Q135" s="265" t="str">
        <f t="shared" si="26"/>
        <v>OK</v>
      </c>
      <c r="R135" s="265" t="str">
        <f t="shared" si="26"/>
        <v>OK</v>
      </c>
      <c r="S135" s="265" t="str">
        <f t="shared" si="26"/>
        <v>OK</v>
      </c>
      <c r="T135" s="265" t="str">
        <f t="shared" si="26"/>
        <v>OK</v>
      </c>
      <c r="U135" s="265" t="str">
        <f t="shared" si="26"/>
        <v>OK</v>
      </c>
      <c r="V135" s="265" t="str">
        <f t="shared" si="26"/>
        <v>OK</v>
      </c>
      <c r="W135" s="265" t="str">
        <f t="shared" si="26"/>
        <v>OK</v>
      </c>
      <c r="X135" s="265" t="str">
        <f t="shared" si="26"/>
        <v>OK</v>
      </c>
      <c r="Y135" s="265" t="str">
        <f t="shared" si="26"/>
        <v>OK</v>
      </c>
      <c r="Z135" s="265" t="str">
        <f t="shared" si="26"/>
        <v>OK</v>
      </c>
      <c r="AA135" s="265" t="str">
        <f t="shared" si="26"/>
        <v>OK</v>
      </c>
      <c r="AB135" s="265" t="str">
        <f t="shared" si="26"/>
        <v>OK</v>
      </c>
      <c r="AC135" s="265" t="str">
        <f t="shared" si="26"/>
        <v>OK</v>
      </c>
      <c r="AD135" s="265" t="str">
        <f t="shared" si="26"/>
        <v>OK</v>
      </c>
      <c r="AE135" s="265" t="str">
        <f t="shared" si="26"/>
        <v>OK</v>
      </c>
      <c r="AF135" s="265" t="str">
        <f t="shared" si="26"/>
        <v>OK</v>
      </c>
      <c r="AG135" s="265" t="str">
        <f t="shared" si="26"/>
        <v>OK</v>
      </c>
      <c r="AH135" s="265" t="str">
        <f t="shared" si="26"/>
        <v>OK</v>
      </c>
      <c r="AI135" s="265" t="str">
        <f t="shared" si="26"/>
        <v>OK</v>
      </c>
      <c r="AJ135" s="265" t="str">
        <f t="shared" si="26"/>
        <v>OK</v>
      </c>
      <c r="AK135" s="265" t="str">
        <f t="shared" si="26"/>
        <v>OK</v>
      </c>
      <c r="AL135" s="266" t="str">
        <f t="shared" si="26"/>
        <v>OK</v>
      </c>
    </row>
    <row r="136" spans="2:38" ht="14.25" hidden="1" outlineLevel="2">
      <c r="B136" s="290" t="s">
        <v>289</v>
      </c>
      <c r="C136" s="291"/>
      <c r="D136" s="87" t="s">
        <v>340</v>
      </c>
      <c r="E136" s="329" t="s">
        <v>31</v>
      </c>
      <c r="F136" s="330" t="s">
        <v>31</v>
      </c>
      <c r="G136" s="330" t="s">
        <v>31</v>
      </c>
      <c r="H136" s="331" t="s">
        <v>31</v>
      </c>
      <c r="I136" s="272" t="str">
        <f aca="true" t="shared" si="27" ref="I136:AL136">IF(I78&gt;=I79,"OK","BŁĄD")</f>
        <v>OK</v>
      </c>
      <c r="J136" s="265" t="str">
        <f t="shared" si="27"/>
        <v>OK</v>
      </c>
      <c r="K136" s="265" t="str">
        <f t="shared" si="27"/>
        <v>OK</v>
      </c>
      <c r="L136" s="265" t="str">
        <f t="shared" si="27"/>
        <v>OK</v>
      </c>
      <c r="M136" s="265" t="str">
        <f t="shared" si="27"/>
        <v>OK</v>
      </c>
      <c r="N136" s="265" t="str">
        <f t="shared" si="27"/>
        <v>OK</v>
      </c>
      <c r="O136" s="265" t="str">
        <f t="shared" si="27"/>
        <v>OK</v>
      </c>
      <c r="P136" s="265" t="str">
        <f t="shared" si="27"/>
        <v>OK</v>
      </c>
      <c r="Q136" s="265" t="str">
        <f t="shared" si="27"/>
        <v>OK</v>
      </c>
      <c r="R136" s="265" t="str">
        <f t="shared" si="27"/>
        <v>OK</v>
      </c>
      <c r="S136" s="265" t="str">
        <f t="shared" si="27"/>
        <v>OK</v>
      </c>
      <c r="T136" s="265" t="str">
        <f t="shared" si="27"/>
        <v>OK</v>
      </c>
      <c r="U136" s="265" t="str">
        <f t="shared" si="27"/>
        <v>OK</v>
      </c>
      <c r="V136" s="265" t="str">
        <f t="shared" si="27"/>
        <v>OK</v>
      </c>
      <c r="W136" s="265" t="str">
        <f t="shared" si="27"/>
        <v>OK</v>
      </c>
      <c r="X136" s="265" t="str">
        <f t="shared" si="27"/>
        <v>OK</v>
      </c>
      <c r="Y136" s="265" t="str">
        <f t="shared" si="27"/>
        <v>OK</v>
      </c>
      <c r="Z136" s="265" t="str">
        <f t="shared" si="27"/>
        <v>OK</v>
      </c>
      <c r="AA136" s="265" t="str">
        <f t="shared" si="27"/>
        <v>OK</v>
      </c>
      <c r="AB136" s="265" t="str">
        <f t="shared" si="27"/>
        <v>OK</v>
      </c>
      <c r="AC136" s="265" t="str">
        <f t="shared" si="27"/>
        <v>OK</v>
      </c>
      <c r="AD136" s="265" t="str">
        <f t="shared" si="27"/>
        <v>OK</v>
      </c>
      <c r="AE136" s="265" t="str">
        <f t="shared" si="27"/>
        <v>OK</v>
      </c>
      <c r="AF136" s="265" t="str">
        <f t="shared" si="27"/>
        <v>OK</v>
      </c>
      <c r="AG136" s="265" t="str">
        <f t="shared" si="27"/>
        <v>OK</v>
      </c>
      <c r="AH136" s="265" t="str">
        <f t="shared" si="27"/>
        <v>OK</v>
      </c>
      <c r="AI136" s="265" t="str">
        <f t="shared" si="27"/>
        <v>OK</v>
      </c>
      <c r="AJ136" s="265" t="str">
        <f t="shared" si="27"/>
        <v>OK</v>
      </c>
      <c r="AK136" s="265" t="str">
        <f t="shared" si="27"/>
        <v>OK</v>
      </c>
      <c r="AL136" s="266" t="str">
        <f t="shared" si="27"/>
        <v>OK</v>
      </c>
    </row>
    <row r="137" spans="2:38" ht="14.25" hidden="1" outlineLevel="2">
      <c r="B137" s="290" t="s">
        <v>292</v>
      </c>
      <c r="C137" s="291"/>
      <c r="D137" s="87" t="s">
        <v>343</v>
      </c>
      <c r="E137" s="329" t="s">
        <v>31</v>
      </c>
      <c r="F137" s="330" t="s">
        <v>31</v>
      </c>
      <c r="G137" s="330" t="s">
        <v>31</v>
      </c>
      <c r="H137" s="331" t="s">
        <v>31</v>
      </c>
      <c r="I137" s="272" t="str">
        <f aca="true" t="shared" si="28" ref="I137:AL137">IF(I80&gt;=I81,"OK","BŁĄD")</f>
        <v>OK</v>
      </c>
      <c r="J137" s="265" t="str">
        <f t="shared" si="28"/>
        <v>OK</v>
      </c>
      <c r="K137" s="265" t="str">
        <f t="shared" si="28"/>
        <v>OK</v>
      </c>
      <c r="L137" s="265" t="str">
        <f t="shared" si="28"/>
        <v>OK</v>
      </c>
      <c r="M137" s="265" t="str">
        <f t="shared" si="28"/>
        <v>OK</v>
      </c>
      <c r="N137" s="265" t="str">
        <f t="shared" si="28"/>
        <v>OK</v>
      </c>
      <c r="O137" s="265" t="str">
        <f t="shared" si="28"/>
        <v>OK</v>
      </c>
      <c r="P137" s="265" t="str">
        <f t="shared" si="28"/>
        <v>OK</v>
      </c>
      <c r="Q137" s="265" t="str">
        <f t="shared" si="28"/>
        <v>OK</v>
      </c>
      <c r="R137" s="265" t="str">
        <f t="shared" si="28"/>
        <v>OK</v>
      </c>
      <c r="S137" s="265" t="str">
        <f t="shared" si="28"/>
        <v>OK</v>
      </c>
      <c r="T137" s="265" t="str">
        <f t="shared" si="28"/>
        <v>OK</v>
      </c>
      <c r="U137" s="265" t="str">
        <f t="shared" si="28"/>
        <v>OK</v>
      </c>
      <c r="V137" s="265" t="str">
        <f t="shared" si="28"/>
        <v>OK</v>
      </c>
      <c r="W137" s="265" t="str">
        <f t="shared" si="28"/>
        <v>OK</v>
      </c>
      <c r="X137" s="265" t="str">
        <f t="shared" si="28"/>
        <v>OK</v>
      </c>
      <c r="Y137" s="265" t="str">
        <f t="shared" si="28"/>
        <v>OK</v>
      </c>
      <c r="Z137" s="265" t="str">
        <f t="shared" si="28"/>
        <v>OK</v>
      </c>
      <c r="AA137" s="265" t="str">
        <f t="shared" si="28"/>
        <v>OK</v>
      </c>
      <c r="AB137" s="265" t="str">
        <f t="shared" si="28"/>
        <v>OK</v>
      </c>
      <c r="AC137" s="265" t="str">
        <f t="shared" si="28"/>
        <v>OK</v>
      </c>
      <c r="AD137" s="265" t="str">
        <f t="shared" si="28"/>
        <v>OK</v>
      </c>
      <c r="AE137" s="265" t="str">
        <f t="shared" si="28"/>
        <v>OK</v>
      </c>
      <c r="AF137" s="265" t="str">
        <f t="shared" si="28"/>
        <v>OK</v>
      </c>
      <c r="AG137" s="265" t="str">
        <f t="shared" si="28"/>
        <v>OK</v>
      </c>
      <c r="AH137" s="265" t="str">
        <f t="shared" si="28"/>
        <v>OK</v>
      </c>
      <c r="AI137" s="265" t="str">
        <f t="shared" si="28"/>
        <v>OK</v>
      </c>
      <c r="AJ137" s="265" t="str">
        <f t="shared" si="28"/>
        <v>OK</v>
      </c>
      <c r="AK137" s="265" t="str">
        <f t="shared" si="28"/>
        <v>OK</v>
      </c>
      <c r="AL137" s="266" t="str">
        <f t="shared" si="28"/>
        <v>OK</v>
      </c>
    </row>
    <row r="138" spans="2:38" ht="14.25" hidden="1" outlineLevel="2">
      <c r="B138" s="290" t="s">
        <v>291</v>
      </c>
      <c r="C138" s="291"/>
      <c r="D138" s="87" t="s">
        <v>342</v>
      </c>
      <c r="E138" s="329" t="s">
        <v>31</v>
      </c>
      <c r="F138" s="330" t="s">
        <v>31</v>
      </c>
      <c r="G138" s="330" t="s">
        <v>31</v>
      </c>
      <c r="H138" s="331" t="s">
        <v>31</v>
      </c>
      <c r="I138" s="272" t="str">
        <f aca="true" t="shared" si="29" ref="I138:AL138">IF(I81&gt;=I82,"OK","BŁĄD")</f>
        <v>OK</v>
      </c>
      <c r="J138" s="265" t="str">
        <f t="shared" si="29"/>
        <v>OK</v>
      </c>
      <c r="K138" s="265" t="str">
        <f t="shared" si="29"/>
        <v>OK</v>
      </c>
      <c r="L138" s="265" t="str">
        <f t="shared" si="29"/>
        <v>OK</v>
      </c>
      <c r="M138" s="265" t="str">
        <f t="shared" si="29"/>
        <v>OK</v>
      </c>
      <c r="N138" s="265" t="str">
        <f t="shared" si="29"/>
        <v>OK</v>
      </c>
      <c r="O138" s="265" t="str">
        <f t="shared" si="29"/>
        <v>OK</v>
      </c>
      <c r="P138" s="265" t="str">
        <f t="shared" si="29"/>
        <v>OK</v>
      </c>
      <c r="Q138" s="265" t="str">
        <f t="shared" si="29"/>
        <v>OK</v>
      </c>
      <c r="R138" s="265" t="str">
        <f t="shared" si="29"/>
        <v>OK</v>
      </c>
      <c r="S138" s="265" t="str">
        <f t="shared" si="29"/>
        <v>OK</v>
      </c>
      <c r="T138" s="265" t="str">
        <f t="shared" si="29"/>
        <v>OK</v>
      </c>
      <c r="U138" s="265" t="str">
        <f t="shared" si="29"/>
        <v>OK</v>
      </c>
      <c r="V138" s="265" t="str">
        <f t="shared" si="29"/>
        <v>OK</v>
      </c>
      <c r="W138" s="265" t="str">
        <f t="shared" si="29"/>
        <v>OK</v>
      </c>
      <c r="X138" s="265" t="str">
        <f t="shared" si="29"/>
        <v>OK</v>
      </c>
      <c r="Y138" s="265" t="str">
        <f t="shared" si="29"/>
        <v>OK</v>
      </c>
      <c r="Z138" s="265" t="str">
        <f t="shared" si="29"/>
        <v>OK</v>
      </c>
      <c r="AA138" s="265" t="str">
        <f t="shared" si="29"/>
        <v>OK</v>
      </c>
      <c r="AB138" s="265" t="str">
        <f t="shared" si="29"/>
        <v>OK</v>
      </c>
      <c r="AC138" s="265" t="str">
        <f t="shared" si="29"/>
        <v>OK</v>
      </c>
      <c r="AD138" s="265" t="str">
        <f t="shared" si="29"/>
        <v>OK</v>
      </c>
      <c r="AE138" s="265" t="str">
        <f t="shared" si="29"/>
        <v>OK</v>
      </c>
      <c r="AF138" s="265" t="str">
        <f t="shared" si="29"/>
        <v>OK</v>
      </c>
      <c r="AG138" s="265" t="str">
        <f t="shared" si="29"/>
        <v>OK</v>
      </c>
      <c r="AH138" s="265" t="str">
        <f t="shared" si="29"/>
        <v>OK</v>
      </c>
      <c r="AI138" s="265" t="str">
        <f t="shared" si="29"/>
        <v>OK</v>
      </c>
      <c r="AJ138" s="265" t="str">
        <f t="shared" si="29"/>
        <v>OK</v>
      </c>
      <c r="AK138" s="265" t="str">
        <f t="shared" si="29"/>
        <v>OK</v>
      </c>
      <c r="AL138" s="266" t="str">
        <f t="shared" si="29"/>
        <v>OK</v>
      </c>
    </row>
    <row r="139" spans="2:38" ht="14.25" hidden="1" outlineLevel="2">
      <c r="B139" s="290" t="s">
        <v>293</v>
      </c>
      <c r="C139" s="291"/>
      <c r="D139" s="87" t="s">
        <v>344</v>
      </c>
      <c r="E139" s="329" t="s">
        <v>31</v>
      </c>
      <c r="F139" s="330" t="s">
        <v>31</v>
      </c>
      <c r="G139" s="330" t="s">
        <v>31</v>
      </c>
      <c r="H139" s="331" t="s">
        <v>31</v>
      </c>
      <c r="I139" s="272" t="str">
        <f aca="true" t="shared" si="30" ref="I139:AL139">IF(I83&gt;=I84,"OK","BŁĄD")</f>
        <v>OK</v>
      </c>
      <c r="J139" s="265" t="str">
        <f t="shared" si="30"/>
        <v>OK</v>
      </c>
      <c r="K139" s="265" t="str">
        <f t="shared" si="30"/>
        <v>OK</v>
      </c>
      <c r="L139" s="265" t="str">
        <f t="shared" si="30"/>
        <v>OK</v>
      </c>
      <c r="M139" s="265" t="str">
        <f t="shared" si="30"/>
        <v>OK</v>
      </c>
      <c r="N139" s="265" t="str">
        <f t="shared" si="30"/>
        <v>OK</v>
      </c>
      <c r="O139" s="265" t="str">
        <f t="shared" si="30"/>
        <v>OK</v>
      </c>
      <c r="P139" s="265" t="str">
        <f t="shared" si="30"/>
        <v>OK</v>
      </c>
      <c r="Q139" s="265" t="str">
        <f t="shared" si="30"/>
        <v>OK</v>
      </c>
      <c r="R139" s="265" t="str">
        <f t="shared" si="30"/>
        <v>OK</v>
      </c>
      <c r="S139" s="265" t="str">
        <f t="shared" si="30"/>
        <v>OK</v>
      </c>
      <c r="T139" s="265" t="str">
        <f t="shared" si="30"/>
        <v>OK</v>
      </c>
      <c r="U139" s="265" t="str">
        <f t="shared" si="30"/>
        <v>OK</v>
      </c>
      <c r="V139" s="265" t="str">
        <f t="shared" si="30"/>
        <v>OK</v>
      </c>
      <c r="W139" s="265" t="str">
        <f t="shared" si="30"/>
        <v>OK</v>
      </c>
      <c r="X139" s="265" t="str">
        <f t="shared" si="30"/>
        <v>OK</v>
      </c>
      <c r="Y139" s="265" t="str">
        <f t="shared" si="30"/>
        <v>OK</v>
      </c>
      <c r="Z139" s="265" t="str">
        <f t="shared" si="30"/>
        <v>OK</v>
      </c>
      <c r="AA139" s="265" t="str">
        <f t="shared" si="30"/>
        <v>OK</v>
      </c>
      <c r="AB139" s="265" t="str">
        <f t="shared" si="30"/>
        <v>OK</v>
      </c>
      <c r="AC139" s="265" t="str">
        <f t="shared" si="30"/>
        <v>OK</v>
      </c>
      <c r="AD139" s="265" t="str">
        <f t="shared" si="30"/>
        <v>OK</v>
      </c>
      <c r="AE139" s="265" t="str">
        <f t="shared" si="30"/>
        <v>OK</v>
      </c>
      <c r="AF139" s="265" t="str">
        <f t="shared" si="30"/>
        <v>OK</v>
      </c>
      <c r="AG139" s="265" t="str">
        <f t="shared" si="30"/>
        <v>OK</v>
      </c>
      <c r="AH139" s="265" t="str">
        <f t="shared" si="30"/>
        <v>OK</v>
      </c>
      <c r="AI139" s="265" t="str">
        <f t="shared" si="30"/>
        <v>OK</v>
      </c>
      <c r="AJ139" s="265" t="str">
        <f t="shared" si="30"/>
        <v>OK</v>
      </c>
      <c r="AK139" s="265" t="str">
        <f t="shared" si="30"/>
        <v>OK</v>
      </c>
      <c r="AL139" s="266" t="str">
        <f t="shared" si="30"/>
        <v>OK</v>
      </c>
    </row>
    <row r="140" spans="2:38" ht="14.25" hidden="1" outlineLevel="2">
      <c r="B140" s="290" t="s">
        <v>294</v>
      </c>
      <c r="C140" s="291"/>
      <c r="D140" s="87" t="s">
        <v>345</v>
      </c>
      <c r="E140" s="329" t="s">
        <v>31</v>
      </c>
      <c r="F140" s="330" t="s">
        <v>31</v>
      </c>
      <c r="G140" s="330" t="s">
        <v>31</v>
      </c>
      <c r="H140" s="331" t="s">
        <v>31</v>
      </c>
      <c r="I140" s="272" t="str">
        <f aca="true" t="shared" si="31" ref="I140:AL140">IF(I83&gt;=I85,"OK","BŁĄD")</f>
        <v>OK</v>
      </c>
      <c r="J140" s="265" t="str">
        <f t="shared" si="31"/>
        <v>OK</v>
      </c>
      <c r="K140" s="265" t="str">
        <f t="shared" si="31"/>
        <v>OK</v>
      </c>
      <c r="L140" s="265" t="str">
        <f t="shared" si="31"/>
        <v>OK</v>
      </c>
      <c r="M140" s="265" t="str">
        <f t="shared" si="31"/>
        <v>OK</v>
      </c>
      <c r="N140" s="265" t="str">
        <f t="shared" si="31"/>
        <v>OK</v>
      </c>
      <c r="O140" s="265" t="str">
        <f t="shared" si="31"/>
        <v>OK</v>
      </c>
      <c r="P140" s="265" t="str">
        <f t="shared" si="31"/>
        <v>OK</v>
      </c>
      <c r="Q140" s="265" t="str">
        <f t="shared" si="31"/>
        <v>OK</v>
      </c>
      <c r="R140" s="265" t="str">
        <f t="shared" si="31"/>
        <v>OK</v>
      </c>
      <c r="S140" s="265" t="str">
        <f t="shared" si="31"/>
        <v>OK</v>
      </c>
      <c r="T140" s="265" t="str">
        <f t="shared" si="31"/>
        <v>OK</v>
      </c>
      <c r="U140" s="265" t="str">
        <f t="shared" si="31"/>
        <v>OK</v>
      </c>
      <c r="V140" s="265" t="str">
        <f t="shared" si="31"/>
        <v>OK</v>
      </c>
      <c r="W140" s="265" t="str">
        <f t="shared" si="31"/>
        <v>OK</v>
      </c>
      <c r="X140" s="265" t="str">
        <f t="shared" si="31"/>
        <v>OK</v>
      </c>
      <c r="Y140" s="265" t="str">
        <f t="shared" si="31"/>
        <v>OK</v>
      </c>
      <c r="Z140" s="265" t="str">
        <f t="shared" si="31"/>
        <v>OK</v>
      </c>
      <c r="AA140" s="265" t="str">
        <f t="shared" si="31"/>
        <v>OK</v>
      </c>
      <c r="AB140" s="265" t="str">
        <f t="shared" si="31"/>
        <v>OK</v>
      </c>
      <c r="AC140" s="265" t="str">
        <f t="shared" si="31"/>
        <v>OK</v>
      </c>
      <c r="AD140" s="265" t="str">
        <f t="shared" si="31"/>
        <v>OK</v>
      </c>
      <c r="AE140" s="265" t="str">
        <f t="shared" si="31"/>
        <v>OK</v>
      </c>
      <c r="AF140" s="265" t="str">
        <f t="shared" si="31"/>
        <v>OK</v>
      </c>
      <c r="AG140" s="265" t="str">
        <f t="shared" si="31"/>
        <v>OK</v>
      </c>
      <c r="AH140" s="265" t="str">
        <f t="shared" si="31"/>
        <v>OK</v>
      </c>
      <c r="AI140" s="265" t="str">
        <f t="shared" si="31"/>
        <v>OK</v>
      </c>
      <c r="AJ140" s="265" t="str">
        <f t="shared" si="31"/>
        <v>OK</v>
      </c>
      <c r="AK140" s="265" t="str">
        <f t="shared" si="31"/>
        <v>OK</v>
      </c>
      <c r="AL140" s="266" t="str">
        <f t="shared" si="31"/>
        <v>OK</v>
      </c>
    </row>
    <row r="141" spans="2:38" ht="14.25" hidden="1" outlineLevel="2">
      <c r="B141" s="290" t="s">
        <v>295</v>
      </c>
      <c r="C141" s="291"/>
      <c r="D141" s="87" t="s">
        <v>346</v>
      </c>
      <c r="E141" s="329" t="s">
        <v>31</v>
      </c>
      <c r="F141" s="330" t="s">
        <v>31</v>
      </c>
      <c r="G141" s="330" t="s">
        <v>31</v>
      </c>
      <c r="H141" s="331" t="s">
        <v>31</v>
      </c>
      <c r="I141" s="272" t="str">
        <f aca="true" t="shared" si="32" ref="I141:AL141">IF(I86&gt;=I87,"OK","BŁĄD")</f>
        <v>OK</v>
      </c>
      <c r="J141" s="265" t="str">
        <f t="shared" si="32"/>
        <v>OK</v>
      </c>
      <c r="K141" s="265" t="str">
        <f t="shared" si="32"/>
        <v>OK</v>
      </c>
      <c r="L141" s="265" t="str">
        <f t="shared" si="32"/>
        <v>OK</v>
      </c>
      <c r="M141" s="265" t="str">
        <f t="shared" si="32"/>
        <v>OK</v>
      </c>
      <c r="N141" s="265" t="str">
        <f t="shared" si="32"/>
        <v>OK</v>
      </c>
      <c r="O141" s="265" t="str">
        <f t="shared" si="32"/>
        <v>OK</v>
      </c>
      <c r="P141" s="265" t="str">
        <f t="shared" si="32"/>
        <v>OK</v>
      </c>
      <c r="Q141" s="265" t="str">
        <f t="shared" si="32"/>
        <v>OK</v>
      </c>
      <c r="R141" s="265" t="str">
        <f t="shared" si="32"/>
        <v>OK</v>
      </c>
      <c r="S141" s="265" t="str">
        <f t="shared" si="32"/>
        <v>OK</v>
      </c>
      <c r="T141" s="265" t="str">
        <f t="shared" si="32"/>
        <v>OK</v>
      </c>
      <c r="U141" s="265" t="str">
        <f t="shared" si="32"/>
        <v>OK</v>
      </c>
      <c r="V141" s="265" t="str">
        <f t="shared" si="32"/>
        <v>OK</v>
      </c>
      <c r="W141" s="265" t="str">
        <f t="shared" si="32"/>
        <v>OK</v>
      </c>
      <c r="X141" s="265" t="str">
        <f t="shared" si="32"/>
        <v>OK</v>
      </c>
      <c r="Y141" s="265" t="str">
        <f t="shared" si="32"/>
        <v>OK</v>
      </c>
      <c r="Z141" s="265" t="str">
        <f t="shared" si="32"/>
        <v>OK</v>
      </c>
      <c r="AA141" s="265" t="str">
        <f t="shared" si="32"/>
        <v>OK</v>
      </c>
      <c r="AB141" s="265" t="str">
        <f t="shared" si="32"/>
        <v>OK</v>
      </c>
      <c r="AC141" s="265" t="str">
        <f t="shared" si="32"/>
        <v>OK</v>
      </c>
      <c r="AD141" s="265" t="str">
        <f t="shared" si="32"/>
        <v>OK</v>
      </c>
      <c r="AE141" s="265" t="str">
        <f t="shared" si="32"/>
        <v>OK</v>
      </c>
      <c r="AF141" s="265" t="str">
        <f t="shared" si="32"/>
        <v>OK</v>
      </c>
      <c r="AG141" s="265" t="str">
        <f t="shared" si="32"/>
        <v>OK</v>
      </c>
      <c r="AH141" s="265" t="str">
        <f t="shared" si="32"/>
        <v>OK</v>
      </c>
      <c r="AI141" s="265" t="str">
        <f t="shared" si="32"/>
        <v>OK</v>
      </c>
      <c r="AJ141" s="265" t="str">
        <f t="shared" si="32"/>
        <v>OK</v>
      </c>
      <c r="AK141" s="265" t="str">
        <f t="shared" si="32"/>
        <v>OK</v>
      </c>
      <c r="AL141" s="266" t="str">
        <f t="shared" si="32"/>
        <v>OK</v>
      </c>
    </row>
    <row r="142" spans="2:38" ht="14.25" hidden="1" outlineLevel="2">
      <c r="B142" s="290" t="s">
        <v>296</v>
      </c>
      <c r="C142" s="291"/>
      <c r="D142" s="87" t="s">
        <v>347</v>
      </c>
      <c r="E142" s="329" t="s">
        <v>31</v>
      </c>
      <c r="F142" s="330" t="s">
        <v>31</v>
      </c>
      <c r="G142" s="330" t="s">
        <v>31</v>
      </c>
      <c r="H142" s="331" t="s">
        <v>31</v>
      </c>
      <c r="I142" s="272" t="str">
        <f aca="true" t="shared" si="33" ref="I142:AL142">IF(I86&gt;=I88,"OK","BŁĄD")</f>
        <v>OK</v>
      </c>
      <c r="J142" s="265" t="str">
        <f t="shared" si="33"/>
        <v>OK</v>
      </c>
      <c r="K142" s="265" t="str">
        <f t="shared" si="33"/>
        <v>OK</v>
      </c>
      <c r="L142" s="265" t="str">
        <f t="shared" si="33"/>
        <v>OK</v>
      </c>
      <c r="M142" s="265" t="str">
        <f t="shared" si="33"/>
        <v>OK</v>
      </c>
      <c r="N142" s="265" t="str">
        <f t="shared" si="33"/>
        <v>OK</v>
      </c>
      <c r="O142" s="265" t="str">
        <f t="shared" si="33"/>
        <v>OK</v>
      </c>
      <c r="P142" s="265" t="str">
        <f t="shared" si="33"/>
        <v>OK</v>
      </c>
      <c r="Q142" s="265" t="str">
        <f t="shared" si="33"/>
        <v>OK</v>
      </c>
      <c r="R142" s="265" t="str">
        <f t="shared" si="33"/>
        <v>OK</v>
      </c>
      <c r="S142" s="265" t="str">
        <f t="shared" si="33"/>
        <v>OK</v>
      </c>
      <c r="T142" s="265" t="str">
        <f t="shared" si="33"/>
        <v>OK</v>
      </c>
      <c r="U142" s="265" t="str">
        <f t="shared" si="33"/>
        <v>OK</v>
      </c>
      <c r="V142" s="265" t="str">
        <f t="shared" si="33"/>
        <v>OK</v>
      </c>
      <c r="W142" s="265" t="str">
        <f t="shared" si="33"/>
        <v>OK</v>
      </c>
      <c r="X142" s="265" t="str">
        <f t="shared" si="33"/>
        <v>OK</v>
      </c>
      <c r="Y142" s="265" t="str">
        <f t="shared" si="33"/>
        <v>OK</v>
      </c>
      <c r="Z142" s="265" t="str">
        <f t="shared" si="33"/>
        <v>OK</v>
      </c>
      <c r="AA142" s="265" t="str">
        <f t="shared" si="33"/>
        <v>OK</v>
      </c>
      <c r="AB142" s="265" t="str">
        <f t="shared" si="33"/>
        <v>OK</v>
      </c>
      <c r="AC142" s="265" t="str">
        <f t="shared" si="33"/>
        <v>OK</v>
      </c>
      <c r="AD142" s="265" t="str">
        <f t="shared" si="33"/>
        <v>OK</v>
      </c>
      <c r="AE142" s="265" t="str">
        <f t="shared" si="33"/>
        <v>OK</v>
      </c>
      <c r="AF142" s="265" t="str">
        <f t="shared" si="33"/>
        <v>OK</v>
      </c>
      <c r="AG142" s="265" t="str">
        <f t="shared" si="33"/>
        <v>OK</v>
      </c>
      <c r="AH142" s="265" t="str">
        <f t="shared" si="33"/>
        <v>OK</v>
      </c>
      <c r="AI142" s="265" t="str">
        <f t="shared" si="33"/>
        <v>OK</v>
      </c>
      <c r="AJ142" s="265" t="str">
        <f t="shared" si="33"/>
        <v>OK</v>
      </c>
      <c r="AK142" s="265" t="str">
        <f t="shared" si="33"/>
        <v>OK</v>
      </c>
      <c r="AL142" s="266" t="str">
        <f t="shared" si="33"/>
        <v>OK</v>
      </c>
    </row>
    <row r="143" spans="2:38" ht="14.25" hidden="1" outlineLevel="2">
      <c r="B143" s="290" t="s">
        <v>297</v>
      </c>
      <c r="C143" s="291"/>
      <c r="D143" s="87" t="s">
        <v>348</v>
      </c>
      <c r="E143" s="329" t="s">
        <v>31</v>
      </c>
      <c r="F143" s="330" t="s">
        <v>31</v>
      </c>
      <c r="G143" s="330" t="s">
        <v>31</v>
      </c>
      <c r="H143" s="331" t="s">
        <v>31</v>
      </c>
      <c r="I143" s="272" t="str">
        <f aca="true" t="shared" si="34" ref="I143:AL143">IF(I90&gt;=I92,"OK","BŁĄD")</f>
        <v>OK</v>
      </c>
      <c r="J143" s="265" t="str">
        <f t="shared" si="34"/>
        <v>OK</v>
      </c>
      <c r="K143" s="265" t="str">
        <f t="shared" si="34"/>
        <v>OK</v>
      </c>
      <c r="L143" s="265" t="str">
        <f t="shared" si="34"/>
        <v>OK</v>
      </c>
      <c r="M143" s="265" t="str">
        <f t="shared" si="34"/>
        <v>OK</v>
      </c>
      <c r="N143" s="265" t="str">
        <f t="shared" si="34"/>
        <v>OK</v>
      </c>
      <c r="O143" s="265" t="str">
        <f t="shared" si="34"/>
        <v>OK</v>
      </c>
      <c r="P143" s="265" t="str">
        <f t="shared" si="34"/>
        <v>OK</v>
      </c>
      <c r="Q143" s="265" t="str">
        <f t="shared" si="34"/>
        <v>OK</v>
      </c>
      <c r="R143" s="265" t="str">
        <f t="shared" si="34"/>
        <v>OK</v>
      </c>
      <c r="S143" s="265" t="str">
        <f t="shared" si="34"/>
        <v>OK</v>
      </c>
      <c r="T143" s="265" t="str">
        <f t="shared" si="34"/>
        <v>OK</v>
      </c>
      <c r="U143" s="265" t="str">
        <f t="shared" si="34"/>
        <v>OK</v>
      </c>
      <c r="V143" s="265" t="str">
        <f t="shared" si="34"/>
        <v>OK</v>
      </c>
      <c r="W143" s="265" t="str">
        <f t="shared" si="34"/>
        <v>OK</v>
      </c>
      <c r="X143" s="265" t="str">
        <f t="shared" si="34"/>
        <v>OK</v>
      </c>
      <c r="Y143" s="265" t="str">
        <f t="shared" si="34"/>
        <v>OK</v>
      </c>
      <c r="Z143" s="265" t="str">
        <f t="shared" si="34"/>
        <v>OK</v>
      </c>
      <c r="AA143" s="265" t="str">
        <f t="shared" si="34"/>
        <v>OK</v>
      </c>
      <c r="AB143" s="265" t="str">
        <f t="shared" si="34"/>
        <v>OK</v>
      </c>
      <c r="AC143" s="265" t="str">
        <f t="shared" si="34"/>
        <v>OK</v>
      </c>
      <c r="AD143" s="265" t="str">
        <f t="shared" si="34"/>
        <v>OK</v>
      </c>
      <c r="AE143" s="265" t="str">
        <f t="shared" si="34"/>
        <v>OK</v>
      </c>
      <c r="AF143" s="265" t="str">
        <f t="shared" si="34"/>
        <v>OK</v>
      </c>
      <c r="AG143" s="265" t="str">
        <f t="shared" si="34"/>
        <v>OK</v>
      </c>
      <c r="AH143" s="265" t="str">
        <f t="shared" si="34"/>
        <v>OK</v>
      </c>
      <c r="AI143" s="265" t="str">
        <f t="shared" si="34"/>
        <v>OK</v>
      </c>
      <c r="AJ143" s="265" t="str">
        <f t="shared" si="34"/>
        <v>OK</v>
      </c>
      <c r="AK143" s="265" t="str">
        <f t="shared" si="34"/>
        <v>OK</v>
      </c>
      <c r="AL143" s="266" t="str">
        <f t="shared" si="34"/>
        <v>OK</v>
      </c>
    </row>
    <row r="144" spans="2:38" ht="14.25" hidden="1" outlineLevel="2">
      <c r="B144" s="290" t="s">
        <v>298</v>
      </c>
      <c r="C144" s="291"/>
      <c r="D144" s="87" t="s">
        <v>349</v>
      </c>
      <c r="E144" s="329" t="s">
        <v>31</v>
      </c>
      <c r="F144" s="330" t="s">
        <v>31</v>
      </c>
      <c r="G144" s="330" t="s">
        <v>31</v>
      </c>
      <c r="H144" s="331" t="s">
        <v>31</v>
      </c>
      <c r="I144" s="272" t="str">
        <f aca="true" t="shared" si="35" ref="I144:AL144">IF(I93&gt;=I25,"OK","BŁĄD")</f>
        <v>OK</v>
      </c>
      <c r="J144" s="265" t="str">
        <f t="shared" si="35"/>
        <v>OK</v>
      </c>
      <c r="K144" s="265" t="str">
        <f t="shared" si="35"/>
        <v>OK</v>
      </c>
      <c r="L144" s="265" t="str">
        <f t="shared" si="35"/>
        <v>OK</v>
      </c>
      <c r="M144" s="265" t="str">
        <f t="shared" si="35"/>
        <v>OK</v>
      </c>
      <c r="N144" s="265" t="str">
        <f t="shared" si="35"/>
        <v>OK</v>
      </c>
      <c r="O144" s="265" t="str">
        <f t="shared" si="35"/>
        <v>OK</v>
      </c>
      <c r="P144" s="265" t="str">
        <f t="shared" si="35"/>
        <v>OK</v>
      </c>
      <c r="Q144" s="265" t="str">
        <f t="shared" si="35"/>
        <v>OK</v>
      </c>
      <c r="R144" s="265" t="str">
        <f t="shared" si="35"/>
        <v>OK</v>
      </c>
      <c r="S144" s="265" t="str">
        <f t="shared" si="35"/>
        <v>OK</v>
      </c>
      <c r="T144" s="265" t="str">
        <f t="shared" si="35"/>
        <v>OK</v>
      </c>
      <c r="U144" s="265" t="str">
        <f t="shared" si="35"/>
        <v>OK</v>
      </c>
      <c r="V144" s="265" t="str">
        <f t="shared" si="35"/>
        <v>OK</v>
      </c>
      <c r="W144" s="265" t="str">
        <f t="shared" si="35"/>
        <v>OK</v>
      </c>
      <c r="X144" s="265" t="str">
        <f t="shared" si="35"/>
        <v>OK</v>
      </c>
      <c r="Y144" s="265" t="str">
        <f t="shared" si="35"/>
        <v>OK</v>
      </c>
      <c r="Z144" s="265" t="str">
        <f t="shared" si="35"/>
        <v>OK</v>
      </c>
      <c r="AA144" s="265" t="str">
        <f t="shared" si="35"/>
        <v>OK</v>
      </c>
      <c r="AB144" s="265" t="str">
        <f t="shared" si="35"/>
        <v>OK</v>
      </c>
      <c r="AC144" s="265" t="str">
        <f t="shared" si="35"/>
        <v>OK</v>
      </c>
      <c r="AD144" s="265" t="str">
        <f t="shared" si="35"/>
        <v>OK</v>
      </c>
      <c r="AE144" s="265" t="str">
        <f t="shared" si="35"/>
        <v>OK</v>
      </c>
      <c r="AF144" s="265" t="str">
        <f t="shared" si="35"/>
        <v>OK</v>
      </c>
      <c r="AG144" s="265" t="str">
        <f t="shared" si="35"/>
        <v>OK</v>
      </c>
      <c r="AH144" s="265" t="str">
        <f t="shared" si="35"/>
        <v>OK</v>
      </c>
      <c r="AI144" s="265" t="str">
        <f t="shared" si="35"/>
        <v>OK</v>
      </c>
      <c r="AJ144" s="265" t="str">
        <f t="shared" si="35"/>
        <v>OK</v>
      </c>
      <c r="AK144" s="265" t="str">
        <f t="shared" si="35"/>
        <v>OK</v>
      </c>
      <c r="AL144" s="266" t="str">
        <f t="shared" si="35"/>
        <v>OK</v>
      </c>
    </row>
    <row r="145" spans="2:38" ht="14.25" hidden="1" outlineLevel="2">
      <c r="B145" s="290" t="s">
        <v>299</v>
      </c>
      <c r="C145" s="291"/>
      <c r="D145" s="87" t="s">
        <v>350</v>
      </c>
      <c r="E145" s="329" t="s">
        <v>31</v>
      </c>
      <c r="F145" s="330" t="s">
        <v>31</v>
      </c>
      <c r="G145" s="330" t="s">
        <v>31</v>
      </c>
      <c r="H145" s="331" t="s">
        <v>31</v>
      </c>
      <c r="I145" s="272" t="str">
        <f aca="true" t="shared" si="36" ref="I145:AL145">IF(I100&gt;=(I101+I102+I103),"OK","BŁĄD")</f>
        <v>OK</v>
      </c>
      <c r="J145" s="265" t="str">
        <f t="shared" si="36"/>
        <v>OK</v>
      </c>
      <c r="K145" s="265" t="str">
        <f t="shared" si="36"/>
        <v>OK</v>
      </c>
      <c r="L145" s="265" t="str">
        <f t="shared" si="36"/>
        <v>OK</v>
      </c>
      <c r="M145" s="265" t="str">
        <f t="shared" si="36"/>
        <v>OK</v>
      </c>
      <c r="N145" s="265" t="str">
        <f t="shared" si="36"/>
        <v>OK</v>
      </c>
      <c r="O145" s="265" t="str">
        <f t="shared" si="36"/>
        <v>OK</v>
      </c>
      <c r="P145" s="265" t="str">
        <f t="shared" si="36"/>
        <v>OK</v>
      </c>
      <c r="Q145" s="265" t="str">
        <f t="shared" si="36"/>
        <v>OK</v>
      </c>
      <c r="R145" s="265" t="str">
        <f t="shared" si="36"/>
        <v>OK</v>
      </c>
      <c r="S145" s="265" t="str">
        <f t="shared" si="36"/>
        <v>OK</v>
      </c>
      <c r="T145" s="265" t="str">
        <f t="shared" si="36"/>
        <v>OK</v>
      </c>
      <c r="U145" s="265" t="str">
        <f t="shared" si="36"/>
        <v>OK</v>
      </c>
      <c r="V145" s="265" t="str">
        <f t="shared" si="36"/>
        <v>OK</v>
      </c>
      <c r="W145" s="265" t="str">
        <f t="shared" si="36"/>
        <v>OK</v>
      </c>
      <c r="X145" s="265" t="str">
        <f t="shared" si="36"/>
        <v>OK</v>
      </c>
      <c r="Y145" s="265" t="str">
        <f t="shared" si="36"/>
        <v>OK</v>
      </c>
      <c r="Z145" s="265" t="str">
        <f t="shared" si="36"/>
        <v>OK</v>
      </c>
      <c r="AA145" s="265" t="str">
        <f t="shared" si="36"/>
        <v>OK</v>
      </c>
      <c r="AB145" s="265" t="str">
        <f t="shared" si="36"/>
        <v>OK</v>
      </c>
      <c r="AC145" s="265" t="str">
        <f t="shared" si="36"/>
        <v>OK</v>
      </c>
      <c r="AD145" s="265" t="str">
        <f t="shared" si="36"/>
        <v>OK</v>
      </c>
      <c r="AE145" s="265" t="str">
        <f t="shared" si="36"/>
        <v>OK</v>
      </c>
      <c r="AF145" s="265" t="str">
        <f t="shared" si="36"/>
        <v>OK</v>
      </c>
      <c r="AG145" s="265" t="str">
        <f t="shared" si="36"/>
        <v>OK</v>
      </c>
      <c r="AH145" s="265" t="str">
        <f t="shared" si="36"/>
        <v>OK</v>
      </c>
      <c r="AI145" s="265" t="str">
        <f t="shared" si="36"/>
        <v>OK</v>
      </c>
      <c r="AJ145" s="265" t="str">
        <f t="shared" si="36"/>
        <v>OK</v>
      </c>
      <c r="AK145" s="265" t="str">
        <f t="shared" si="36"/>
        <v>OK</v>
      </c>
      <c r="AL145" s="266" t="str">
        <f t="shared" si="36"/>
        <v>OK</v>
      </c>
    </row>
    <row r="146" spans="2:38" ht="14.25" hidden="1" outlineLevel="2">
      <c r="B146" s="290" t="s">
        <v>301</v>
      </c>
      <c r="C146" s="291"/>
      <c r="D146" s="87" t="s">
        <v>352</v>
      </c>
      <c r="E146" s="329" t="s">
        <v>31</v>
      </c>
      <c r="F146" s="330" t="s">
        <v>31</v>
      </c>
      <c r="G146" s="330" t="s">
        <v>31</v>
      </c>
      <c r="H146" s="331" t="s">
        <v>31</v>
      </c>
      <c r="I146" s="272" t="str">
        <f aca="true" t="shared" si="37" ref="I146:AL146">IF(I23&gt;=I24,"OK","BŁĄD")</f>
        <v>OK</v>
      </c>
      <c r="J146" s="265" t="str">
        <f t="shared" si="37"/>
        <v>OK</v>
      </c>
      <c r="K146" s="265" t="str">
        <f t="shared" si="37"/>
        <v>OK</v>
      </c>
      <c r="L146" s="265" t="str">
        <f t="shared" si="37"/>
        <v>OK</v>
      </c>
      <c r="M146" s="265" t="str">
        <f t="shared" si="37"/>
        <v>OK</v>
      </c>
      <c r="N146" s="265" t="str">
        <f t="shared" si="37"/>
        <v>OK</v>
      </c>
      <c r="O146" s="265" t="str">
        <f t="shared" si="37"/>
        <v>OK</v>
      </c>
      <c r="P146" s="265" t="str">
        <f t="shared" si="37"/>
        <v>OK</v>
      </c>
      <c r="Q146" s="265" t="str">
        <f t="shared" si="37"/>
        <v>OK</v>
      </c>
      <c r="R146" s="265" t="str">
        <f t="shared" si="37"/>
        <v>OK</v>
      </c>
      <c r="S146" s="265" t="str">
        <f t="shared" si="37"/>
        <v>OK</v>
      </c>
      <c r="T146" s="265" t="str">
        <f t="shared" si="37"/>
        <v>OK</v>
      </c>
      <c r="U146" s="265" t="str">
        <f t="shared" si="37"/>
        <v>OK</v>
      </c>
      <c r="V146" s="265" t="str">
        <f t="shared" si="37"/>
        <v>OK</v>
      </c>
      <c r="W146" s="265" t="str">
        <f t="shared" si="37"/>
        <v>OK</v>
      </c>
      <c r="X146" s="265" t="str">
        <f t="shared" si="37"/>
        <v>OK</v>
      </c>
      <c r="Y146" s="265" t="str">
        <f t="shared" si="37"/>
        <v>OK</v>
      </c>
      <c r="Z146" s="265" t="str">
        <f t="shared" si="37"/>
        <v>OK</v>
      </c>
      <c r="AA146" s="265" t="str">
        <f t="shared" si="37"/>
        <v>OK</v>
      </c>
      <c r="AB146" s="265" t="str">
        <f t="shared" si="37"/>
        <v>OK</v>
      </c>
      <c r="AC146" s="265" t="str">
        <f t="shared" si="37"/>
        <v>OK</v>
      </c>
      <c r="AD146" s="265" t="str">
        <f t="shared" si="37"/>
        <v>OK</v>
      </c>
      <c r="AE146" s="265" t="str">
        <f t="shared" si="37"/>
        <v>OK</v>
      </c>
      <c r="AF146" s="265" t="str">
        <f t="shared" si="37"/>
        <v>OK</v>
      </c>
      <c r="AG146" s="265" t="str">
        <f t="shared" si="37"/>
        <v>OK</v>
      </c>
      <c r="AH146" s="265" t="str">
        <f t="shared" si="37"/>
        <v>OK</v>
      </c>
      <c r="AI146" s="265" t="str">
        <f t="shared" si="37"/>
        <v>OK</v>
      </c>
      <c r="AJ146" s="265" t="str">
        <f t="shared" si="37"/>
        <v>OK</v>
      </c>
      <c r="AK146" s="265" t="str">
        <f t="shared" si="37"/>
        <v>OK</v>
      </c>
      <c r="AL146" s="266" t="str">
        <f t="shared" si="37"/>
        <v>OK</v>
      </c>
    </row>
    <row r="147" spans="2:38" ht="14.25" hidden="1" outlineLevel="2">
      <c r="B147" s="290" t="s">
        <v>300</v>
      </c>
      <c r="C147" s="291"/>
      <c r="D147" s="87" t="s">
        <v>351</v>
      </c>
      <c r="E147" s="329" t="s">
        <v>31</v>
      </c>
      <c r="F147" s="330" t="s">
        <v>31</v>
      </c>
      <c r="G147" s="330" t="s">
        <v>31</v>
      </c>
      <c r="H147" s="331" t="s">
        <v>31</v>
      </c>
      <c r="I147" s="272" t="str">
        <f aca="true" t="shared" si="38" ref="I147:AL147">IF(I23&gt;=I103,"OK","BŁĄD")</f>
        <v>OK</v>
      </c>
      <c r="J147" s="265" t="str">
        <f t="shared" si="38"/>
        <v>OK</v>
      </c>
      <c r="K147" s="265" t="str">
        <f t="shared" si="38"/>
        <v>OK</v>
      </c>
      <c r="L147" s="265" t="str">
        <f t="shared" si="38"/>
        <v>OK</v>
      </c>
      <c r="M147" s="265" t="str">
        <f t="shared" si="38"/>
        <v>OK</v>
      </c>
      <c r="N147" s="265" t="str">
        <f t="shared" si="38"/>
        <v>OK</v>
      </c>
      <c r="O147" s="265" t="str">
        <f t="shared" si="38"/>
        <v>OK</v>
      </c>
      <c r="P147" s="265" t="str">
        <f t="shared" si="38"/>
        <v>OK</v>
      </c>
      <c r="Q147" s="265" t="str">
        <f t="shared" si="38"/>
        <v>OK</v>
      </c>
      <c r="R147" s="265" t="str">
        <f t="shared" si="38"/>
        <v>OK</v>
      </c>
      <c r="S147" s="265" t="str">
        <f t="shared" si="38"/>
        <v>OK</v>
      </c>
      <c r="T147" s="265" t="str">
        <f t="shared" si="38"/>
        <v>OK</v>
      </c>
      <c r="U147" s="265" t="str">
        <f t="shared" si="38"/>
        <v>OK</v>
      </c>
      <c r="V147" s="265" t="str">
        <f t="shared" si="38"/>
        <v>OK</v>
      </c>
      <c r="W147" s="265" t="str">
        <f t="shared" si="38"/>
        <v>OK</v>
      </c>
      <c r="X147" s="265" t="str">
        <f t="shared" si="38"/>
        <v>OK</v>
      </c>
      <c r="Y147" s="265" t="str">
        <f t="shared" si="38"/>
        <v>OK</v>
      </c>
      <c r="Z147" s="265" t="str">
        <f t="shared" si="38"/>
        <v>OK</v>
      </c>
      <c r="AA147" s="265" t="str">
        <f t="shared" si="38"/>
        <v>OK</v>
      </c>
      <c r="AB147" s="265" t="str">
        <f t="shared" si="38"/>
        <v>OK</v>
      </c>
      <c r="AC147" s="265" t="str">
        <f t="shared" si="38"/>
        <v>OK</v>
      </c>
      <c r="AD147" s="265" t="str">
        <f t="shared" si="38"/>
        <v>OK</v>
      </c>
      <c r="AE147" s="265" t="str">
        <f t="shared" si="38"/>
        <v>OK</v>
      </c>
      <c r="AF147" s="265" t="str">
        <f t="shared" si="38"/>
        <v>OK</v>
      </c>
      <c r="AG147" s="265" t="str">
        <f t="shared" si="38"/>
        <v>OK</v>
      </c>
      <c r="AH147" s="265" t="str">
        <f t="shared" si="38"/>
        <v>OK</v>
      </c>
      <c r="AI147" s="265" t="str">
        <f t="shared" si="38"/>
        <v>OK</v>
      </c>
      <c r="AJ147" s="265" t="str">
        <f t="shared" si="38"/>
        <v>OK</v>
      </c>
      <c r="AK147" s="265" t="str">
        <f t="shared" si="38"/>
        <v>OK</v>
      </c>
      <c r="AL147" s="266" t="str">
        <f t="shared" si="38"/>
        <v>OK</v>
      </c>
    </row>
    <row r="148" spans="2:38" ht="14.25" hidden="1" outlineLevel="2">
      <c r="B148" s="290" t="s">
        <v>302</v>
      </c>
      <c r="C148" s="291"/>
      <c r="D148" s="87" t="s">
        <v>353</v>
      </c>
      <c r="E148" s="329" t="s">
        <v>31</v>
      </c>
      <c r="F148" s="330" t="s">
        <v>31</v>
      </c>
      <c r="G148" s="330" t="s">
        <v>31</v>
      </c>
      <c r="H148" s="331" t="s">
        <v>31</v>
      </c>
      <c r="I148" s="272" t="str">
        <f aca="true" t="shared" si="39" ref="I148:AL148">IF(I26&gt;=I27,"OK","BŁĄD")</f>
        <v>OK</v>
      </c>
      <c r="J148" s="265" t="str">
        <f t="shared" si="39"/>
        <v>OK</v>
      </c>
      <c r="K148" s="265" t="str">
        <f t="shared" si="39"/>
        <v>OK</v>
      </c>
      <c r="L148" s="265" t="str">
        <f t="shared" si="39"/>
        <v>OK</v>
      </c>
      <c r="M148" s="265" t="str">
        <f t="shared" si="39"/>
        <v>OK</v>
      </c>
      <c r="N148" s="265" t="str">
        <f t="shared" si="39"/>
        <v>OK</v>
      </c>
      <c r="O148" s="265" t="str">
        <f t="shared" si="39"/>
        <v>OK</v>
      </c>
      <c r="P148" s="265" t="str">
        <f t="shared" si="39"/>
        <v>OK</v>
      </c>
      <c r="Q148" s="265" t="str">
        <f t="shared" si="39"/>
        <v>OK</v>
      </c>
      <c r="R148" s="265" t="str">
        <f t="shared" si="39"/>
        <v>OK</v>
      </c>
      <c r="S148" s="265" t="str">
        <f t="shared" si="39"/>
        <v>OK</v>
      </c>
      <c r="T148" s="265" t="str">
        <f t="shared" si="39"/>
        <v>OK</v>
      </c>
      <c r="U148" s="265" t="str">
        <f t="shared" si="39"/>
        <v>OK</v>
      </c>
      <c r="V148" s="265" t="str">
        <f t="shared" si="39"/>
        <v>OK</v>
      </c>
      <c r="W148" s="265" t="str">
        <f t="shared" si="39"/>
        <v>OK</v>
      </c>
      <c r="X148" s="265" t="str">
        <f t="shared" si="39"/>
        <v>OK</v>
      </c>
      <c r="Y148" s="265" t="str">
        <f t="shared" si="39"/>
        <v>OK</v>
      </c>
      <c r="Z148" s="265" t="str">
        <f t="shared" si="39"/>
        <v>OK</v>
      </c>
      <c r="AA148" s="265" t="str">
        <f t="shared" si="39"/>
        <v>OK</v>
      </c>
      <c r="AB148" s="265" t="str">
        <f t="shared" si="39"/>
        <v>OK</v>
      </c>
      <c r="AC148" s="265" t="str">
        <f t="shared" si="39"/>
        <v>OK</v>
      </c>
      <c r="AD148" s="265" t="str">
        <f t="shared" si="39"/>
        <v>OK</v>
      </c>
      <c r="AE148" s="265" t="str">
        <f t="shared" si="39"/>
        <v>OK</v>
      </c>
      <c r="AF148" s="265" t="str">
        <f t="shared" si="39"/>
        <v>OK</v>
      </c>
      <c r="AG148" s="265" t="str">
        <f t="shared" si="39"/>
        <v>OK</v>
      </c>
      <c r="AH148" s="265" t="str">
        <f t="shared" si="39"/>
        <v>OK</v>
      </c>
      <c r="AI148" s="265" t="str">
        <f t="shared" si="39"/>
        <v>OK</v>
      </c>
      <c r="AJ148" s="265" t="str">
        <f t="shared" si="39"/>
        <v>OK</v>
      </c>
      <c r="AK148" s="265" t="str">
        <f t="shared" si="39"/>
        <v>OK</v>
      </c>
      <c r="AL148" s="266" t="str">
        <f t="shared" si="39"/>
        <v>OK</v>
      </c>
    </row>
    <row r="149" spans="2:38" ht="14.25" hidden="1" outlineLevel="2">
      <c r="B149" s="290" t="s">
        <v>303</v>
      </c>
      <c r="C149" s="291"/>
      <c r="D149" s="87" t="s">
        <v>354</v>
      </c>
      <c r="E149" s="329" t="s">
        <v>31</v>
      </c>
      <c r="F149" s="330" t="s">
        <v>31</v>
      </c>
      <c r="G149" s="330" t="s">
        <v>31</v>
      </c>
      <c r="H149" s="331" t="s">
        <v>31</v>
      </c>
      <c r="I149" s="272" t="str">
        <f aca="true" t="shared" si="40" ref="I149:AL149">IF(I22&gt;=(I23+I25+I26),"OK","BŁĄD")</f>
        <v>OK</v>
      </c>
      <c r="J149" s="265" t="str">
        <f t="shared" si="40"/>
        <v>OK</v>
      </c>
      <c r="K149" s="265" t="str">
        <f t="shared" si="40"/>
        <v>OK</v>
      </c>
      <c r="L149" s="265" t="str">
        <f t="shared" si="40"/>
        <v>OK</v>
      </c>
      <c r="M149" s="265" t="str">
        <f t="shared" si="40"/>
        <v>OK</v>
      </c>
      <c r="N149" s="265" t="str">
        <f t="shared" si="40"/>
        <v>OK</v>
      </c>
      <c r="O149" s="265" t="str">
        <f t="shared" si="40"/>
        <v>OK</v>
      </c>
      <c r="P149" s="265" t="str">
        <f t="shared" si="40"/>
        <v>OK</v>
      </c>
      <c r="Q149" s="265" t="str">
        <f t="shared" si="40"/>
        <v>OK</v>
      </c>
      <c r="R149" s="265" t="str">
        <f t="shared" si="40"/>
        <v>OK</v>
      </c>
      <c r="S149" s="265" t="str">
        <f t="shared" si="40"/>
        <v>OK</v>
      </c>
      <c r="T149" s="265" t="str">
        <f t="shared" si="40"/>
        <v>OK</v>
      </c>
      <c r="U149" s="265" t="str">
        <f t="shared" si="40"/>
        <v>OK</v>
      </c>
      <c r="V149" s="265" t="str">
        <f t="shared" si="40"/>
        <v>OK</v>
      </c>
      <c r="W149" s="265" t="str">
        <f t="shared" si="40"/>
        <v>OK</v>
      </c>
      <c r="X149" s="265" t="str">
        <f t="shared" si="40"/>
        <v>OK</v>
      </c>
      <c r="Y149" s="265" t="str">
        <f t="shared" si="40"/>
        <v>OK</v>
      </c>
      <c r="Z149" s="265" t="str">
        <f t="shared" si="40"/>
        <v>OK</v>
      </c>
      <c r="AA149" s="265" t="str">
        <f t="shared" si="40"/>
        <v>OK</v>
      </c>
      <c r="AB149" s="265" t="str">
        <f t="shared" si="40"/>
        <v>OK</v>
      </c>
      <c r="AC149" s="265" t="str">
        <f t="shared" si="40"/>
        <v>OK</v>
      </c>
      <c r="AD149" s="265" t="str">
        <f t="shared" si="40"/>
        <v>OK</v>
      </c>
      <c r="AE149" s="265" t="str">
        <f t="shared" si="40"/>
        <v>OK</v>
      </c>
      <c r="AF149" s="265" t="str">
        <f t="shared" si="40"/>
        <v>OK</v>
      </c>
      <c r="AG149" s="265" t="str">
        <f t="shared" si="40"/>
        <v>OK</v>
      </c>
      <c r="AH149" s="265" t="str">
        <f t="shared" si="40"/>
        <v>OK</v>
      </c>
      <c r="AI149" s="265" t="str">
        <f t="shared" si="40"/>
        <v>OK</v>
      </c>
      <c r="AJ149" s="265" t="str">
        <f t="shared" si="40"/>
        <v>OK</v>
      </c>
      <c r="AK149" s="265" t="str">
        <f t="shared" si="40"/>
        <v>OK</v>
      </c>
      <c r="AL149" s="266" t="str">
        <f t="shared" si="40"/>
        <v>OK</v>
      </c>
    </row>
    <row r="150" spans="2:38" ht="14.25" hidden="1" outlineLevel="2">
      <c r="B150" s="290" t="s">
        <v>304</v>
      </c>
      <c r="C150" s="291"/>
      <c r="D150" s="87" t="s">
        <v>355</v>
      </c>
      <c r="E150" s="329" t="s">
        <v>31</v>
      </c>
      <c r="F150" s="330" t="s">
        <v>31</v>
      </c>
      <c r="G150" s="330" t="s">
        <v>31</v>
      </c>
      <c r="H150" s="331" t="s">
        <v>31</v>
      </c>
      <c r="I150" s="272" t="str">
        <f aca="true" t="shared" si="41" ref="I150:AL150">IF(I22&gt;=I68,"OK","BŁĄD")</f>
        <v>OK</v>
      </c>
      <c r="J150" s="265" t="str">
        <f t="shared" si="41"/>
        <v>OK</v>
      </c>
      <c r="K150" s="265" t="str">
        <f t="shared" si="41"/>
        <v>OK</v>
      </c>
      <c r="L150" s="265" t="str">
        <f t="shared" si="41"/>
        <v>OK</v>
      </c>
      <c r="M150" s="265" t="str">
        <f t="shared" si="41"/>
        <v>OK</v>
      </c>
      <c r="N150" s="265" t="str">
        <f t="shared" si="41"/>
        <v>OK</v>
      </c>
      <c r="O150" s="265" t="str">
        <f t="shared" si="41"/>
        <v>OK</v>
      </c>
      <c r="P150" s="265" t="str">
        <f t="shared" si="41"/>
        <v>OK</v>
      </c>
      <c r="Q150" s="265" t="str">
        <f t="shared" si="41"/>
        <v>OK</v>
      </c>
      <c r="R150" s="265" t="str">
        <f t="shared" si="41"/>
        <v>OK</v>
      </c>
      <c r="S150" s="265" t="str">
        <f t="shared" si="41"/>
        <v>OK</v>
      </c>
      <c r="T150" s="265" t="str">
        <f t="shared" si="41"/>
        <v>OK</v>
      </c>
      <c r="U150" s="265" t="str">
        <f t="shared" si="41"/>
        <v>OK</v>
      </c>
      <c r="V150" s="265" t="str">
        <f t="shared" si="41"/>
        <v>OK</v>
      </c>
      <c r="W150" s="265" t="str">
        <f t="shared" si="41"/>
        <v>OK</v>
      </c>
      <c r="X150" s="265" t="str">
        <f t="shared" si="41"/>
        <v>OK</v>
      </c>
      <c r="Y150" s="265" t="str">
        <f t="shared" si="41"/>
        <v>OK</v>
      </c>
      <c r="Z150" s="265" t="str">
        <f t="shared" si="41"/>
        <v>OK</v>
      </c>
      <c r="AA150" s="265" t="str">
        <f t="shared" si="41"/>
        <v>OK</v>
      </c>
      <c r="AB150" s="265" t="str">
        <f t="shared" si="41"/>
        <v>OK</v>
      </c>
      <c r="AC150" s="265" t="str">
        <f t="shared" si="41"/>
        <v>OK</v>
      </c>
      <c r="AD150" s="265" t="str">
        <f t="shared" si="41"/>
        <v>OK</v>
      </c>
      <c r="AE150" s="265" t="str">
        <f t="shared" si="41"/>
        <v>OK</v>
      </c>
      <c r="AF150" s="265" t="str">
        <f t="shared" si="41"/>
        <v>OK</v>
      </c>
      <c r="AG150" s="265" t="str">
        <f t="shared" si="41"/>
        <v>OK</v>
      </c>
      <c r="AH150" s="265" t="str">
        <f t="shared" si="41"/>
        <v>OK</v>
      </c>
      <c r="AI150" s="265" t="str">
        <f t="shared" si="41"/>
        <v>OK</v>
      </c>
      <c r="AJ150" s="265" t="str">
        <f t="shared" si="41"/>
        <v>OK</v>
      </c>
      <c r="AK150" s="265" t="str">
        <f t="shared" si="41"/>
        <v>OK</v>
      </c>
      <c r="AL150" s="266" t="str">
        <f t="shared" si="41"/>
        <v>OK</v>
      </c>
    </row>
    <row r="151" spans="2:38" ht="14.25" hidden="1" outlineLevel="2">
      <c r="B151" s="290" t="s">
        <v>305</v>
      </c>
      <c r="C151" s="291"/>
      <c r="D151" s="87" t="s">
        <v>356</v>
      </c>
      <c r="E151" s="329" t="s">
        <v>31</v>
      </c>
      <c r="F151" s="330" t="s">
        <v>31</v>
      </c>
      <c r="G151" s="330" t="s">
        <v>31</v>
      </c>
      <c r="H151" s="331" t="s">
        <v>31</v>
      </c>
      <c r="I151" s="272" t="str">
        <f aca="true" t="shared" si="42" ref="I151:AL151">IF(I22&gt;=I71,"OK","BŁĄD")</f>
        <v>OK</v>
      </c>
      <c r="J151" s="265" t="str">
        <f t="shared" si="42"/>
        <v>OK</v>
      </c>
      <c r="K151" s="265" t="str">
        <f t="shared" si="42"/>
        <v>OK</v>
      </c>
      <c r="L151" s="265" t="str">
        <f t="shared" si="42"/>
        <v>OK</v>
      </c>
      <c r="M151" s="265" t="str">
        <f t="shared" si="42"/>
        <v>OK</v>
      </c>
      <c r="N151" s="265" t="str">
        <f t="shared" si="42"/>
        <v>OK</v>
      </c>
      <c r="O151" s="265" t="str">
        <f t="shared" si="42"/>
        <v>OK</v>
      </c>
      <c r="P151" s="265" t="str">
        <f t="shared" si="42"/>
        <v>OK</v>
      </c>
      <c r="Q151" s="265" t="str">
        <f t="shared" si="42"/>
        <v>OK</v>
      </c>
      <c r="R151" s="265" t="str">
        <f t="shared" si="42"/>
        <v>OK</v>
      </c>
      <c r="S151" s="265" t="str">
        <f t="shared" si="42"/>
        <v>OK</v>
      </c>
      <c r="T151" s="265" t="str">
        <f t="shared" si="42"/>
        <v>OK</v>
      </c>
      <c r="U151" s="265" t="str">
        <f t="shared" si="42"/>
        <v>OK</v>
      </c>
      <c r="V151" s="265" t="str">
        <f t="shared" si="42"/>
        <v>OK</v>
      </c>
      <c r="W151" s="265" t="str">
        <f t="shared" si="42"/>
        <v>OK</v>
      </c>
      <c r="X151" s="265" t="str">
        <f t="shared" si="42"/>
        <v>OK</v>
      </c>
      <c r="Y151" s="265" t="str">
        <f t="shared" si="42"/>
        <v>OK</v>
      </c>
      <c r="Z151" s="265" t="str">
        <f t="shared" si="42"/>
        <v>OK</v>
      </c>
      <c r="AA151" s="265" t="str">
        <f t="shared" si="42"/>
        <v>OK</v>
      </c>
      <c r="AB151" s="265" t="str">
        <f t="shared" si="42"/>
        <v>OK</v>
      </c>
      <c r="AC151" s="265" t="str">
        <f t="shared" si="42"/>
        <v>OK</v>
      </c>
      <c r="AD151" s="265" t="str">
        <f t="shared" si="42"/>
        <v>OK</v>
      </c>
      <c r="AE151" s="265" t="str">
        <f t="shared" si="42"/>
        <v>OK</v>
      </c>
      <c r="AF151" s="265" t="str">
        <f t="shared" si="42"/>
        <v>OK</v>
      </c>
      <c r="AG151" s="265" t="str">
        <f t="shared" si="42"/>
        <v>OK</v>
      </c>
      <c r="AH151" s="265" t="str">
        <f t="shared" si="42"/>
        <v>OK</v>
      </c>
      <c r="AI151" s="265" t="str">
        <f t="shared" si="42"/>
        <v>OK</v>
      </c>
      <c r="AJ151" s="265" t="str">
        <f t="shared" si="42"/>
        <v>OK</v>
      </c>
      <c r="AK151" s="265" t="str">
        <f t="shared" si="42"/>
        <v>OK</v>
      </c>
      <c r="AL151" s="266" t="str">
        <f t="shared" si="42"/>
        <v>OK</v>
      </c>
    </row>
    <row r="152" spans="2:38" ht="14.25" hidden="1" outlineLevel="2">
      <c r="B152" s="290" t="s">
        <v>306</v>
      </c>
      <c r="C152" s="291"/>
      <c r="D152" s="87" t="s">
        <v>357</v>
      </c>
      <c r="E152" s="329" t="s">
        <v>31</v>
      </c>
      <c r="F152" s="330" t="s">
        <v>31</v>
      </c>
      <c r="G152" s="330" t="s">
        <v>31</v>
      </c>
      <c r="H152" s="331" t="s">
        <v>31</v>
      </c>
      <c r="I152" s="272" t="str">
        <f aca="true" t="shared" si="43" ref="I152:AL152">IF(I22&gt;=I83,"OK","BŁĄD")</f>
        <v>OK</v>
      </c>
      <c r="J152" s="265" t="str">
        <f t="shared" si="43"/>
        <v>OK</v>
      </c>
      <c r="K152" s="265" t="str">
        <f t="shared" si="43"/>
        <v>OK</v>
      </c>
      <c r="L152" s="265" t="str">
        <f t="shared" si="43"/>
        <v>OK</v>
      </c>
      <c r="M152" s="265" t="str">
        <f t="shared" si="43"/>
        <v>OK</v>
      </c>
      <c r="N152" s="265" t="str">
        <f t="shared" si="43"/>
        <v>OK</v>
      </c>
      <c r="O152" s="265" t="str">
        <f t="shared" si="43"/>
        <v>OK</v>
      </c>
      <c r="P152" s="265" t="str">
        <f t="shared" si="43"/>
        <v>OK</v>
      </c>
      <c r="Q152" s="265" t="str">
        <f t="shared" si="43"/>
        <v>OK</v>
      </c>
      <c r="R152" s="265" t="str">
        <f t="shared" si="43"/>
        <v>OK</v>
      </c>
      <c r="S152" s="265" t="str">
        <f t="shared" si="43"/>
        <v>OK</v>
      </c>
      <c r="T152" s="265" t="str">
        <f t="shared" si="43"/>
        <v>OK</v>
      </c>
      <c r="U152" s="265" t="str">
        <f t="shared" si="43"/>
        <v>OK</v>
      </c>
      <c r="V152" s="265" t="str">
        <f t="shared" si="43"/>
        <v>OK</v>
      </c>
      <c r="W152" s="265" t="str">
        <f t="shared" si="43"/>
        <v>OK</v>
      </c>
      <c r="X152" s="265" t="str">
        <f t="shared" si="43"/>
        <v>OK</v>
      </c>
      <c r="Y152" s="265" t="str">
        <f t="shared" si="43"/>
        <v>OK</v>
      </c>
      <c r="Z152" s="265" t="str">
        <f t="shared" si="43"/>
        <v>OK</v>
      </c>
      <c r="AA152" s="265" t="str">
        <f t="shared" si="43"/>
        <v>OK</v>
      </c>
      <c r="AB152" s="265" t="str">
        <f t="shared" si="43"/>
        <v>OK</v>
      </c>
      <c r="AC152" s="265" t="str">
        <f t="shared" si="43"/>
        <v>OK</v>
      </c>
      <c r="AD152" s="265" t="str">
        <f t="shared" si="43"/>
        <v>OK</v>
      </c>
      <c r="AE152" s="265" t="str">
        <f t="shared" si="43"/>
        <v>OK</v>
      </c>
      <c r="AF152" s="265" t="str">
        <f t="shared" si="43"/>
        <v>OK</v>
      </c>
      <c r="AG152" s="265" t="str">
        <f t="shared" si="43"/>
        <v>OK</v>
      </c>
      <c r="AH152" s="265" t="str">
        <f t="shared" si="43"/>
        <v>OK</v>
      </c>
      <c r="AI152" s="265" t="str">
        <f t="shared" si="43"/>
        <v>OK</v>
      </c>
      <c r="AJ152" s="265" t="str">
        <f t="shared" si="43"/>
        <v>OK</v>
      </c>
      <c r="AK152" s="265" t="str">
        <f t="shared" si="43"/>
        <v>OK</v>
      </c>
      <c r="AL152" s="266" t="str">
        <f t="shared" si="43"/>
        <v>OK</v>
      </c>
    </row>
    <row r="153" spans="2:38" ht="14.25" hidden="1" outlineLevel="2">
      <c r="B153" s="290" t="s">
        <v>307</v>
      </c>
      <c r="C153" s="291"/>
      <c r="D153" s="87" t="s">
        <v>358</v>
      </c>
      <c r="E153" s="329" t="s">
        <v>31</v>
      </c>
      <c r="F153" s="330" t="s">
        <v>31</v>
      </c>
      <c r="G153" s="330" t="s">
        <v>31</v>
      </c>
      <c r="H153" s="331" t="s">
        <v>31</v>
      </c>
      <c r="I153" s="272" t="str">
        <f aca="true" t="shared" si="44" ref="I153:AL153">IF(I22&gt;=I96,"OK","BŁĄD")</f>
        <v>OK</v>
      </c>
      <c r="J153" s="265" t="str">
        <f t="shared" si="44"/>
        <v>OK</v>
      </c>
      <c r="K153" s="265" t="str">
        <f t="shared" si="44"/>
        <v>OK</v>
      </c>
      <c r="L153" s="265" t="str">
        <f t="shared" si="44"/>
        <v>OK</v>
      </c>
      <c r="M153" s="265" t="str">
        <f t="shared" si="44"/>
        <v>OK</v>
      </c>
      <c r="N153" s="265" t="str">
        <f t="shared" si="44"/>
        <v>OK</v>
      </c>
      <c r="O153" s="265" t="str">
        <f t="shared" si="44"/>
        <v>OK</v>
      </c>
      <c r="P153" s="265" t="str">
        <f t="shared" si="44"/>
        <v>OK</v>
      </c>
      <c r="Q153" s="265" t="str">
        <f t="shared" si="44"/>
        <v>OK</v>
      </c>
      <c r="R153" s="265" t="str">
        <f t="shared" si="44"/>
        <v>OK</v>
      </c>
      <c r="S153" s="265" t="str">
        <f t="shared" si="44"/>
        <v>OK</v>
      </c>
      <c r="T153" s="265" t="str">
        <f t="shared" si="44"/>
        <v>OK</v>
      </c>
      <c r="U153" s="265" t="str">
        <f t="shared" si="44"/>
        <v>OK</v>
      </c>
      <c r="V153" s="265" t="str">
        <f t="shared" si="44"/>
        <v>OK</v>
      </c>
      <c r="W153" s="265" t="str">
        <f t="shared" si="44"/>
        <v>OK</v>
      </c>
      <c r="X153" s="265" t="str">
        <f t="shared" si="44"/>
        <v>OK</v>
      </c>
      <c r="Y153" s="265" t="str">
        <f t="shared" si="44"/>
        <v>OK</v>
      </c>
      <c r="Z153" s="265" t="str">
        <f t="shared" si="44"/>
        <v>OK</v>
      </c>
      <c r="AA153" s="265" t="str">
        <f t="shared" si="44"/>
        <v>OK</v>
      </c>
      <c r="AB153" s="265" t="str">
        <f t="shared" si="44"/>
        <v>OK</v>
      </c>
      <c r="AC153" s="265" t="str">
        <f t="shared" si="44"/>
        <v>OK</v>
      </c>
      <c r="AD153" s="265" t="str">
        <f t="shared" si="44"/>
        <v>OK</v>
      </c>
      <c r="AE153" s="265" t="str">
        <f t="shared" si="44"/>
        <v>OK</v>
      </c>
      <c r="AF153" s="265" t="str">
        <f t="shared" si="44"/>
        <v>OK</v>
      </c>
      <c r="AG153" s="265" t="str">
        <f t="shared" si="44"/>
        <v>OK</v>
      </c>
      <c r="AH153" s="265" t="str">
        <f t="shared" si="44"/>
        <v>OK</v>
      </c>
      <c r="AI153" s="265" t="str">
        <f t="shared" si="44"/>
        <v>OK</v>
      </c>
      <c r="AJ153" s="265" t="str">
        <f t="shared" si="44"/>
        <v>OK</v>
      </c>
      <c r="AK153" s="265" t="str">
        <f t="shared" si="44"/>
        <v>OK</v>
      </c>
      <c r="AL153" s="266" t="str">
        <f t="shared" si="44"/>
        <v>OK</v>
      </c>
    </row>
    <row r="154" spans="2:38" ht="14.25" hidden="1" outlineLevel="2">
      <c r="B154" s="290" t="s">
        <v>308</v>
      </c>
      <c r="C154" s="291"/>
      <c r="D154" s="87" t="s">
        <v>359</v>
      </c>
      <c r="E154" s="329" t="s">
        <v>31</v>
      </c>
      <c r="F154" s="330" t="s">
        <v>31</v>
      </c>
      <c r="G154" s="330" t="s">
        <v>31</v>
      </c>
      <c r="H154" s="331" t="s">
        <v>31</v>
      </c>
      <c r="I154" s="272" t="str">
        <f aca="true" t="shared" si="45" ref="I154:AL154">IF(I28&gt;=I72,"OK","BŁĄD")</f>
        <v>OK</v>
      </c>
      <c r="J154" s="265" t="str">
        <f t="shared" si="45"/>
        <v>OK</v>
      </c>
      <c r="K154" s="265" t="str">
        <f t="shared" si="45"/>
        <v>OK</v>
      </c>
      <c r="L154" s="265" t="str">
        <f t="shared" si="45"/>
        <v>OK</v>
      </c>
      <c r="M154" s="265" t="str">
        <f t="shared" si="45"/>
        <v>OK</v>
      </c>
      <c r="N154" s="265" t="str">
        <f t="shared" si="45"/>
        <v>OK</v>
      </c>
      <c r="O154" s="265" t="str">
        <f t="shared" si="45"/>
        <v>OK</v>
      </c>
      <c r="P154" s="265" t="str">
        <f t="shared" si="45"/>
        <v>OK</v>
      </c>
      <c r="Q154" s="265" t="str">
        <f t="shared" si="45"/>
        <v>OK</v>
      </c>
      <c r="R154" s="265" t="str">
        <f t="shared" si="45"/>
        <v>OK</v>
      </c>
      <c r="S154" s="265" t="str">
        <f t="shared" si="45"/>
        <v>OK</v>
      </c>
      <c r="T154" s="265" t="str">
        <f t="shared" si="45"/>
        <v>OK</v>
      </c>
      <c r="U154" s="265" t="str">
        <f t="shared" si="45"/>
        <v>OK</v>
      </c>
      <c r="V154" s="265" t="str">
        <f t="shared" si="45"/>
        <v>OK</v>
      </c>
      <c r="W154" s="265" t="str">
        <f t="shared" si="45"/>
        <v>OK</v>
      </c>
      <c r="X154" s="265" t="str">
        <f t="shared" si="45"/>
        <v>OK</v>
      </c>
      <c r="Y154" s="265" t="str">
        <f t="shared" si="45"/>
        <v>OK</v>
      </c>
      <c r="Z154" s="265" t="str">
        <f t="shared" si="45"/>
        <v>OK</v>
      </c>
      <c r="AA154" s="265" t="str">
        <f t="shared" si="45"/>
        <v>OK</v>
      </c>
      <c r="AB154" s="265" t="str">
        <f t="shared" si="45"/>
        <v>OK</v>
      </c>
      <c r="AC154" s="265" t="str">
        <f t="shared" si="45"/>
        <v>OK</v>
      </c>
      <c r="AD154" s="265" t="str">
        <f t="shared" si="45"/>
        <v>OK</v>
      </c>
      <c r="AE154" s="265" t="str">
        <f t="shared" si="45"/>
        <v>OK</v>
      </c>
      <c r="AF154" s="265" t="str">
        <f t="shared" si="45"/>
        <v>OK</v>
      </c>
      <c r="AG154" s="265" t="str">
        <f t="shared" si="45"/>
        <v>OK</v>
      </c>
      <c r="AH154" s="265" t="str">
        <f t="shared" si="45"/>
        <v>OK</v>
      </c>
      <c r="AI154" s="265" t="str">
        <f t="shared" si="45"/>
        <v>OK</v>
      </c>
      <c r="AJ154" s="265" t="str">
        <f t="shared" si="45"/>
        <v>OK</v>
      </c>
      <c r="AK154" s="265" t="str">
        <f t="shared" si="45"/>
        <v>OK</v>
      </c>
      <c r="AL154" s="266" t="str">
        <f t="shared" si="45"/>
        <v>OK</v>
      </c>
    </row>
    <row r="155" spans="2:38" ht="14.25" hidden="1" outlineLevel="2">
      <c r="B155" s="290" t="s">
        <v>309</v>
      </c>
      <c r="C155" s="291"/>
      <c r="D155" s="87" t="s">
        <v>360</v>
      </c>
      <c r="E155" s="329" t="s">
        <v>31</v>
      </c>
      <c r="F155" s="330" t="s">
        <v>31</v>
      </c>
      <c r="G155" s="330" t="s">
        <v>31</v>
      </c>
      <c r="H155" s="331" t="s">
        <v>31</v>
      </c>
      <c r="I155" s="272" t="str">
        <f aca="true" t="shared" si="46" ref="I155:AL155">IF(I28&gt;=I73+I74,"OK","BŁĄD")</f>
        <v>OK</v>
      </c>
      <c r="J155" s="265" t="str">
        <f t="shared" si="46"/>
        <v>OK</v>
      </c>
      <c r="K155" s="265" t="str">
        <f t="shared" si="46"/>
        <v>OK</v>
      </c>
      <c r="L155" s="265" t="str">
        <f t="shared" si="46"/>
        <v>OK</v>
      </c>
      <c r="M155" s="265" t="str">
        <f t="shared" si="46"/>
        <v>OK</v>
      </c>
      <c r="N155" s="265" t="str">
        <f t="shared" si="46"/>
        <v>OK</v>
      </c>
      <c r="O155" s="265" t="str">
        <f t="shared" si="46"/>
        <v>OK</v>
      </c>
      <c r="P155" s="265" t="str">
        <f t="shared" si="46"/>
        <v>OK</v>
      </c>
      <c r="Q155" s="265" t="str">
        <f t="shared" si="46"/>
        <v>OK</v>
      </c>
      <c r="R155" s="265" t="str">
        <f t="shared" si="46"/>
        <v>OK</v>
      </c>
      <c r="S155" s="265" t="str">
        <f t="shared" si="46"/>
        <v>OK</v>
      </c>
      <c r="T155" s="265" t="str">
        <f t="shared" si="46"/>
        <v>OK</v>
      </c>
      <c r="U155" s="265" t="str">
        <f t="shared" si="46"/>
        <v>OK</v>
      </c>
      <c r="V155" s="265" t="str">
        <f t="shared" si="46"/>
        <v>OK</v>
      </c>
      <c r="W155" s="265" t="str">
        <f t="shared" si="46"/>
        <v>OK</v>
      </c>
      <c r="X155" s="265" t="str">
        <f t="shared" si="46"/>
        <v>OK</v>
      </c>
      <c r="Y155" s="265" t="str">
        <f t="shared" si="46"/>
        <v>OK</v>
      </c>
      <c r="Z155" s="265" t="str">
        <f t="shared" si="46"/>
        <v>OK</v>
      </c>
      <c r="AA155" s="265" t="str">
        <f t="shared" si="46"/>
        <v>OK</v>
      </c>
      <c r="AB155" s="265" t="str">
        <f t="shared" si="46"/>
        <v>OK</v>
      </c>
      <c r="AC155" s="265" t="str">
        <f t="shared" si="46"/>
        <v>OK</v>
      </c>
      <c r="AD155" s="265" t="str">
        <f t="shared" si="46"/>
        <v>OK</v>
      </c>
      <c r="AE155" s="265" t="str">
        <f t="shared" si="46"/>
        <v>OK</v>
      </c>
      <c r="AF155" s="265" t="str">
        <f t="shared" si="46"/>
        <v>OK</v>
      </c>
      <c r="AG155" s="265" t="str">
        <f t="shared" si="46"/>
        <v>OK</v>
      </c>
      <c r="AH155" s="265" t="str">
        <f t="shared" si="46"/>
        <v>OK</v>
      </c>
      <c r="AI155" s="265" t="str">
        <f t="shared" si="46"/>
        <v>OK</v>
      </c>
      <c r="AJ155" s="265" t="str">
        <f t="shared" si="46"/>
        <v>OK</v>
      </c>
      <c r="AK155" s="265" t="str">
        <f t="shared" si="46"/>
        <v>OK</v>
      </c>
      <c r="AL155" s="266" t="str">
        <f t="shared" si="46"/>
        <v>OK</v>
      </c>
    </row>
    <row r="156" spans="2:38" ht="14.25" hidden="1" outlineLevel="2">
      <c r="B156" s="290" t="s">
        <v>310</v>
      </c>
      <c r="C156" s="291"/>
      <c r="D156" s="87" t="s">
        <v>361</v>
      </c>
      <c r="E156" s="329" t="s">
        <v>31</v>
      </c>
      <c r="F156" s="330" t="s">
        <v>31</v>
      </c>
      <c r="G156" s="330" t="s">
        <v>31</v>
      </c>
      <c r="H156" s="331" t="s">
        <v>31</v>
      </c>
      <c r="I156" s="272" t="str">
        <f aca="true" t="shared" si="47" ref="I156:AL156">IF(I28&gt;=I75,"OK","BŁĄD")</f>
        <v>OK</v>
      </c>
      <c r="J156" s="265" t="str">
        <f t="shared" si="47"/>
        <v>OK</v>
      </c>
      <c r="K156" s="265" t="str">
        <f t="shared" si="47"/>
        <v>OK</v>
      </c>
      <c r="L156" s="265" t="str">
        <f t="shared" si="47"/>
        <v>OK</v>
      </c>
      <c r="M156" s="265" t="str">
        <f t="shared" si="47"/>
        <v>OK</v>
      </c>
      <c r="N156" s="265" t="str">
        <f t="shared" si="47"/>
        <v>OK</v>
      </c>
      <c r="O156" s="265" t="str">
        <f t="shared" si="47"/>
        <v>OK</v>
      </c>
      <c r="P156" s="265" t="str">
        <f t="shared" si="47"/>
        <v>OK</v>
      </c>
      <c r="Q156" s="265" t="str">
        <f t="shared" si="47"/>
        <v>OK</v>
      </c>
      <c r="R156" s="265" t="str">
        <f t="shared" si="47"/>
        <v>OK</v>
      </c>
      <c r="S156" s="265" t="str">
        <f t="shared" si="47"/>
        <v>OK</v>
      </c>
      <c r="T156" s="265" t="str">
        <f t="shared" si="47"/>
        <v>OK</v>
      </c>
      <c r="U156" s="265" t="str">
        <f t="shared" si="47"/>
        <v>OK</v>
      </c>
      <c r="V156" s="265" t="str">
        <f t="shared" si="47"/>
        <v>OK</v>
      </c>
      <c r="W156" s="265" t="str">
        <f t="shared" si="47"/>
        <v>OK</v>
      </c>
      <c r="X156" s="265" t="str">
        <f t="shared" si="47"/>
        <v>OK</v>
      </c>
      <c r="Y156" s="265" t="str">
        <f t="shared" si="47"/>
        <v>OK</v>
      </c>
      <c r="Z156" s="265" t="str">
        <f t="shared" si="47"/>
        <v>OK</v>
      </c>
      <c r="AA156" s="265" t="str">
        <f t="shared" si="47"/>
        <v>OK</v>
      </c>
      <c r="AB156" s="265" t="str">
        <f t="shared" si="47"/>
        <v>OK</v>
      </c>
      <c r="AC156" s="265" t="str">
        <f t="shared" si="47"/>
        <v>OK</v>
      </c>
      <c r="AD156" s="265" t="str">
        <f t="shared" si="47"/>
        <v>OK</v>
      </c>
      <c r="AE156" s="265" t="str">
        <f t="shared" si="47"/>
        <v>OK</v>
      </c>
      <c r="AF156" s="265" t="str">
        <f t="shared" si="47"/>
        <v>OK</v>
      </c>
      <c r="AG156" s="265" t="str">
        <f t="shared" si="47"/>
        <v>OK</v>
      </c>
      <c r="AH156" s="265" t="str">
        <f t="shared" si="47"/>
        <v>OK</v>
      </c>
      <c r="AI156" s="265" t="str">
        <f t="shared" si="47"/>
        <v>OK</v>
      </c>
      <c r="AJ156" s="265" t="str">
        <f t="shared" si="47"/>
        <v>OK</v>
      </c>
      <c r="AK156" s="265" t="str">
        <f t="shared" si="47"/>
        <v>OK</v>
      </c>
      <c r="AL156" s="266" t="str">
        <f t="shared" si="47"/>
        <v>OK</v>
      </c>
    </row>
    <row r="157" spans="2:38" ht="14.25" hidden="1" outlineLevel="2">
      <c r="B157" s="290" t="s">
        <v>311</v>
      </c>
      <c r="C157" s="291"/>
      <c r="D157" s="87" t="s">
        <v>362</v>
      </c>
      <c r="E157" s="329" t="s">
        <v>31</v>
      </c>
      <c r="F157" s="330" t="s">
        <v>31</v>
      </c>
      <c r="G157" s="330" t="s">
        <v>31</v>
      </c>
      <c r="H157" s="331" t="s">
        <v>31</v>
      </c>
      <c r="I157" s="272" t="str">
        <f aca="true" t="shared" si="48" ref="I157:AL157">IF(I28&gt;=I86,"OK","BŁĄD")</f>
        <v>OK</v>
      </c>
      <c r="J157" s="265" t="str">
        <f t="shared" si="48"/>
        <v>OK</v>
      </c>
      <c r="K157" s="265" t="str">
        <f t="shared" si="48"/>
        <v>OK</v>
      </c>
      <c r="L157" s="265" t="str">
        <f t="shared" si="48"/>
        <v>OK</v>
      </c>
      <c r="M157" s="265" t="str">
        <f t="shared" si="48"/>
        <v>OK</v>
      </c>
      <c r="N157" s="265" t="str">
        <f t="shared" si="48"/>
        <v>OK</v>
      </c>
      <c r="O157" s="265" t="str">
        <f t="shared" si="48"/>
        <v>OK</v>
      </c>
      <c r="P157" s="265" t="str">
        <f t="shared" si="48"/>
        <v>OK</v>
      </c>
      <c r="Q157" s="265" t="str">
        <f t="shared" si="48"/>
        <v>OK</v>
      </c>
      <c r="R157" s="265" t="str">
        <f t="shared" si="48"/>
        <v>OK</v>
      </c>
      <c r="S157" s="265" t="str">
        <f t="shared" si="48"/>
        <v>OK</v>
      </c>
      <c r="T157" s="265" t="str">
        <f t="shared" si="48"/>
        <v>OK</v>
      </c>
      <c r="U157" s="265" t="str">
        <f t="shared" si="48"/>
        <v>OK</v>
      </c>
      <c r="V157" s="265" t="str">
        <f t="shared" si="48"/>
        <v>OK</v>
      </c>
      <c r="W157" s="265" t="str">
        <f t="shared" si="48"/>
        <v>OK</v>
      </c>
      <c r="X157" s="265" t="str">
        <f t="shared" si="48"/>
        <v>OK</v>
      </c>
      <c r="Y157" s="265" t="str">
        <f t="shared" si="48"/>
        <v>OK</v>
      </c>
      <c r="Z157" s="265" t="str">
        <f t="shared" si="48"/>
        <v>OK</v>
      </c>
      <c r="AA157" s="265" t="str">
        <f t="shared" si="48"/>
        <v>OK</v>
      </c>
      <c r="AB157" s="265" t="str">
        <f t="shared" si="48"/>
        <v>OK</v>
      </c>
      <c r="AC157" s="265" t="str">
        <f t="shared" si="48"/>
        <v>OK</v>
      </c>
      <c r="AD157" s="265" t="str">
        <f t="shared" si="48"/>
        <v>OK</v>
      </c>
      <c r="AE157" s="265" t="str">
        <f t="shared" si="48"/>
        <v>OK</v>
      </c>
      <c r="AF157" s="265" t="str">
        <f t="shared" si="48"/>
        <v>OK</v>
      </c>
      <c r="AG157" s="265" t="str">
        <f t="shared" si="48"/>
        <v>OK</v>
      </c>
      <c r="AH157" s="265" t="str">
        <f t="shared" si="48"/>
        <v>OK</v>
      </c>
      <c r="AI157" s="265" t="str">
        <f t="shared" si="48"/>
        <v>OK</v>
      </c>
      <c r="AJ157" s="265" t="str">
        <f t="shared" si="48"/>
        <v>OK</v>
      </c>
      <c r="AK157" s="265" t="str">
        <f t="shared" si="48"/>
        <v>OK</v>
      </c>
      <c r="AL157" s="266" t="str">
        <f t="shared" si="48"/>
        <v>OK</v>
      </c>
    </row>
    <row r="158" spans="2:38" ht="14.25" hidden="1" outlineLevel="2">
      <c r="B158" s="290" t="s">
        <v>312</v>
      </c>
      <c r="C158" s="291"/>
      <c r="D158" s="87" t="s">
        <v>363</v>
      </c>
      <c r="E158" s="329" t="s">
        <v>31</v>
      </c>
      <c r="F158" s="330" t="s">
        <v>31</v>
      </c>
      <c r="G158" s="330" t="s">
        <v>31</v>
      </c>
      <c r="H158" s="331" t="s">
        <v>31</v>
      </c>
      <c r="I158" s="272" t="str">
        <f aca="true" t="shared" si="49" ref="I158:AL158">IF(I31&gt;=I32,"OK","BŁĄD")</f>
        <v>OK</v>
      </c>
      <c r="J158" s="265" t="str">
        <f t="shared" si="49"/>
        <v>OK</v>
      </c>
      <c r="K158" s="265" t="str">
        <f t="shared" si="49"/>
        <v>OK</v>
      </c>
      <c r="L158" s="265" t="str">
        <f t="shared" si="49"/>
        <v>OK</v>
      </c>
      <c r="M158" s="265" t="str">
        <f t="shared" si="49"/>
        <v>OK</v>
      </c>
      <c r="N158" s="265" t="str">
        <f t="shared" si="49"/>
        <v>OK</v>
      </c>
      <c r="O158" s="265" t="str">
        <f t="shared" si="49"/>
        <v>OK</v>
      </c>
      <c r="P158" s="265" t="str">
        <f t="shared" si="49"/>
        <v>OK</v>
      </c>
      <c r="Q158" s="265" t="str">
        <f t="shared" si="49"/>
        <v>OK</v>
      </c>
      <c r="R158" s="265" t="str">
        <f t="shared" si="49"/>
        <v>OK</v>
      </c>
      <c r="S158" s="265" t="str">
        <f t="shared" si="49"/>
        <v>OK</v>
      </c>
      <c r="T158" s="265" t="str">
        <f t="shared" si="49"/>
        <v>OK</v>
      </c>
      <c r="U158" s="265" t="str">
        <f t="shared" si="49"/>
        <v>OK</v>
      </c>
      <c r="V158" s="265" t="str">
        <f t="shared" si="49"/>
        <v>OK</v>
      </c>
      <c r="W158" s="265" t="str">
        <f t="shared" si="49"/>
        <v>OK</v>
      </c>
      <c r="X158" s="265" t="str">
        <f t="shared" si="49"/>
        <v>OK</v>
      </c>
      <c r="Y158" s="265" t="str">
        <f t="shared" si="49"/>
        <v>OK</v>
      </c>
      <c r="Z158" s="265" t="str">
        <f t="shared" si="49"/>
        <v>OK</v>
      </c>
      <c r="AA158" s="265" t="str">
        <f t="shared" si="49"/>
        <v>OK</v>
      </c>
      <c r="AB158" s="265" t="str">
        <f t="shared" si="49"/>
        <v>OK</v>
      </c>
      <c r="AC158" s="265" t="str">
        <f t="shared" si="49"/>
        <v>OK</v>
      </c>
      <c r="AD158" s="265" t="str">
        <f t="shared" si="49"/>
        <v>OK</v>
      </c>
      <c r="AE158" s="265" t="str">
        <f t="shared" si="49"/>
        <v>OK</v>
      </c>
      <c r="AF158" s="265" t="str">
        <f t="shared" si="49"/>
        <v>OK</v>
      </c>
      <c r="AG158" s="265" t="str">
        <f t="shared" si="49"/>
        <v>OK</v>
      </c>
      <c r="AH158" s="265" t="str">
        <f t="shared" si="49"/>
        <v>OK</v>
      </c>
      <c r="AI158" s="265" t="str">
        <f t="shared" si="49"/>
        <v>OK</v>
      </c>
      <c r="AJ158" s="265" t="str">
        <f t="shared" si="49"/>
        <v>OK</v>
      </c>
      <c r="AK158" s="265" t="str">
        <f t="shared" si="49"/>
        <v>OK</v>
      </c>
      <c r="AL158" s="266" t="str">
        <f t="shared" si="49"/>
        <v>OK</v>
      </c>
    </row>
    <row r="159" spans="2:38" ht="14.25" hidden="1" outlineLevel="2">
      <c r="B159" s="290" t="s">
        <v>313</v>
      </c>
      <c r="C159" s="291"/>
      <c r="D159" s="87" t="s">
        <v>364</v>
      </c>
      <c r="E159" s="329" t="s">
        <v>31</v>
      </c>
      <c r="F159" s="330" t="s">
        <v>31</v>
      </c>
      <c r="G159" s="330" t="s">
        <v>31</v>
      </c>
      <c r="H159" s="331" t="s">
        <v>31</v>
      </c>
      <c r="I159" s="272" t="str">
        <f aca="true" t="shared" si="50" ref="I159:AL159">IF(I33&gt;=I34,"OK","BŁĄD")</f>
        <v>OK</v>
      </c>
      <c r="J159" s="265" t="str">
        <f t="shared" si="50"/>
        <v>OK</v>
      </c>
      <c r="K159" s="265" t="str">
        <f t="shared" si="50"/>
        <v>OK</v>
      </c>
      <c r="L159" s="265" t="str">
        <f t="shared" si="50"/>
        <v>OK</v>
      </c>
      <c r="M159" s="265" t="str">
        <f t="shared" si="50"/>
        <v>OK</v>
      </c>
      <c r="N159" s="265" t="str">
        <f t="shared" si="50"/>
        <v>OK</v>
      </c>
      <c r="O159" s="265" t="str">
        <f t="shared" si="50"/>
        <v>OK</v>
      </c>
      <c r="P159" s="265" t="str">
        <f t="shared" si="50"/>
        <v>OK</v>
      </c>
      <c r="Q159" s="265" t="str">
        <f t="shared" si="50"/>
        <v>OK</v>
      </c>
      <c r="R159" s="265" t="str">
        <f t="shared" si="50"/>
        <v>OK</v>
      </c>
      <c r="S159" s="265" t="str">
        <f t="shared" si="50"/>
        <v>OK</v>
      </c>
      <c r="T159" s="265" t="str">
        <f t="shared" si="50"/>
        <v>OK</v>
      </c>
      <c r="U159" s="265" t="str">
        <f t="shared" si="50"/>
        <v>OK</v>
      </c>
      <c r="V159" s="265" t="str">
        <f t="shared" si="50"/>
        <v>OK</v>
      </c>
      <c r="W159" s="265" t="str">
        <f t="shared" si="50"/>
        <v>OK</v>
      </c>
      <c r="X159" s="265" t="str">
        <f t="shared" si="50"/>
        <v>OK</v>
      </c>
      <c r="Y159" s="265" t="str">
        <f t="shared" si="50"/>
        <v>OK</v>
      </c>
      <c r="Z159" s="265" t="str">
        <f t="shared" si="50"/>
        <v>OK</v>
      </c>
      <c r="AA159" s="265" t="str">
        <f t="shared" si="50"/>
        <v>OK</v>
      </c>
      <c r="AB159" s="265" t="str">
        <f t="shared" si="50"/>
        <v>OK</v>
      </c>
      <c r="AC159" s="265" t="str">
        <f t="shared" si="50"/>
        <v>OK</v>
      </c>
      <c r="AD159" s="265" t="str">
        <f t="shared" si="50"/>
        <v>OK</v>
      </c>
      <c r="AE159" s="265" t="str">
        <f t="shared" si="50"/>
        <v>OK</v>
      </c>
      <c r="AF159" s="265" t="str">
        <f t="shared" si="50"/>
        <v>OK</v>
      </c>
      <c r="AG159" s="265" t="str">
        <f t="shared" si="50"/>
        <v>OK</v>
      </c>
      <c r="AH159" s="265" t="str">
        <f t="shared" si="50"/>
        <v>OK</v>
      </c>
      <c r="AI159" s="265" t="str">
        <f t="shared" si="50"/>
        <v>OK</v>
      </c>
      <c r="AJ159" s="265" t="str">
        <f t="shared" si="50"/>
        <v>OK</v>
      </c>
      <c r="AK159" s="265" t="str">
        <f t="shared" si="50"/>
        <v>OK</v>
      </c>
      <c r="AL159" s="266" t="str">
        <f t="shared" si="50"/>
        <v>OK</v>
      </c>
    </row>
    <row r="160" spans="2:38" ht="14.25" hidden="1" outlineLevel="2">
      <c r="B160" s="290" t="s">
        <v>314</v>
      </c>
      <c r="C160" s="291"/>
      <c r="D160" s="87" t="s">
        <v>365</v>
      </c>
      <c r="E160" s="329" t="s">
        <v>31</v>
      </c>
      <c r="F160" s="330" t="s">
        <v>31</v>
      </c>
      <c r="G160" s="330" t="s">
        <v>31</v>
      </c>
      <c r="H160" s="331" t="s">
        <v>31</v>
      </c>
      <c r="I160" s="272" t="str">
        <f aca="true" t="shared" si="51" ref="I160:AL160">IF(I35&gt;=I36,"OK","BŁĄD")</f>
        <v>OK</v>
      </c>
      <c r="J160" s="265" t="str">
        <f t="shared" si="51"/>
        <v>OK</v>
      </c>
      <c r="K160" s="265" t="str">
        <f t="shared" si="51"/>
        <v>OK</v>
      </c>
      <c r="L160" s="265" t="str">
        <f t="shared" si="51"/>
        <v>OK</v>
      </c>
      <c r="M160" s="265" t="str">
        <f t="shared" si="51"/>
        <v>OK</v>
      </c>
      <c r="N160" s="265" t="str">
        <f t="shared" si="51"/>
        <v>OK</v>
      </c>
      <c r="O160" s="265" t="str">
        <f t="shared" si="51"/>
        <v>OK</v>
      </c>
      <c r="P160" s="265" t="str">
        <f t="shared" si="51"/>
        <v>OK</v>
      </c>
      <c r="Q160" s="265" t="str">
        <f t="shared" si="51"/>
        <v>OK</v>
      </c>
      <c r="R160" s="265" t="str">
        <f t="shared" si="51"/>
        <v>OK</v>
      </c>
      <c r="S160" s="265" t="str">
        <f t="shared" si="51"/>
        <v>OK</v>
      </c>
      <c r="T160" s="265" t="str">
        <f t="shared" si="51"/>
        <v>OK</v>
      </c>
      <c r="U160" s="265" t="str">
        <f t="shared" si="51"/>
        <v>OK</v>
      </c>
      <c r="V160" s="265" t="str">
        <f t="shared" si="51"/>
        <v>OK</v>
      </c>
      <c r="W160" s="265" t="str">
        <f t="shared" si="51"/>
        <v>OK</v>
      </c>
      <c r="X160" s="265" t="str">
        <f t="shared" si="51"/>
        <v>OK</v>
      </c>
      <c r="Y160" s="265" t="str">
        <f t="shared" si="51"/>
        <v>OK</v>
      </c>
      <c r="Z160" s="265" t="str">
        <f t="shared" si="51"/>
        <v>OK</v>
      </c>
      <c r="AA160" s="265" t="str">
        <f t="shared" si="51"/>
        <v>OK</v>
      </c>
      <c r="AB160" s="265" t="str">
        <f t="shared" si="51"/>
        <v>OK</v>
      </c>
      <c r="AC160" s="265" t="str">
        <f t="shared" si="51"/>
        <v>OK</v>
      </c>
      <c r="AD160" s="265" t="str">
        <f t="shared" si="51"/>
        <v>OK</v>
      </c>
      <c r="AE160" s="265" t="str">
        <f t="shared" si="51"/>
        <v>OK</v>
      </c>
      <c r="AF160" s="265" t="str">
        <f t="shared" si="51"/>
        <v>OK</v>
      </c>
      <c r="AG160" s="265" t="str">
        <f t="shared" si="51"/>
        <v>OK</v>
      </c>
      <c r="AH160" s="265" t="str">
        <f t="shared" si="51"/>
        <v>OK</v>
      </c>
      <c r="AI160" s="265" t="str">
        <f t="shared" si="51"/>
        <v>OK</v>
      </c>
      <c r="AJ160" s="265" t="str">
        <f t="shared" si="51"/>
        <v>OK</v>
      </c>
      <c r="AK160" s="265" t="str">
        <f t="shared" si="51"/>
        <v>OK</v>
      </c>
      <c r="AL160" s="266" t="str">
        <f t="shared" si="51"/>
        <v>OK</v>
      </c>
    </row>
    <row r="161" spans="2:38" ht="14.25" hidden="1" outlineLevel="2">
      <c r="B161" s="290" t="s">
        <v>315</v>
      </c>
      <c r="C161" s="291"/>
      <c r="D161" s="87" t="s">
        <v>366</v>
      </c>
      <c r="E161" s="329" t="s">
        <v>31</v>
      </c>
      <c r="F161" s="330" t="s">
        <v>31</v>
      </c>
      <c r="G161" s="330" t="s">
        <v>31</v>
      </c>
      <c r="H161" s="331" t="s">
        <v>31</v>
      </c>
      <c r="I161" s="272" t="str">
        <f aca="true" t="shared" si="52" ref="I161:AL161">IF(I37&gt;=I38,"OK","BŁĄD")</f>
        <v>OK</v>
      </c>
      <c r="J161" s="265" t="str">
        <f t="shared" si="52"/>
        <v>OK</v>
      </c>
      <c r="K161" s="265" t="str">
        <f t="shared" si="52"/>
        <v>OK</v>
      </c>
      <c r="L161" s="265" t="str">
        <f t="shared" si="52"/>
        <v>OK</v>
      </c>
      <c r="M161" s="265" t="str">
        <f t="shared" si="52"/>
        <v>OK</v>
      </c>
      <c r="N161" s="265" t="str">
        <f t="shared" si="52"/>
        <v>OK</v>
      </c>
      <c r="O161" s="265" t="str">
        <f t="shared" si="52"/>
        <v>OK</v>
      </c>
      <c r="P161" s="265" t="str">
        <f t="shared" si="52"/>
        <v>OK</v>
      </c>
      <c r="Q161" s="265" t="str">
        <f t="shared" si="52"/>
        <v>OK</v>
      </c>
      <c r="R161" s="265" t="str">
        <f t="shared" si="52"/>
        <v>OK</v>
      </c>
      <c r="S161" s="265" t="str">
        <f t="shared" si="52"/>
        <v>OK</v>
      </c>
      <c r="T161" s="265" t="str">
        <f t="shared" si="52"/>
        <v>OK</v>
      </c>
      <c r="U161" s="265" t="str">
        <f t="shared" si="52"/>
        <v>OK</v>
      </c>
      <c r="V161" s="265" t="str">
        <f t="shared" si="52"/>
        <v>OK</v>
      </c>
      <c r="W161" s="265" t="str">
        <f t="shared" si="52"/>
        <v>OK</v>
      </c>
      <c r="X161" s="265" t="str">
        <f t="shared" si="52"/>
        <v>OK</v>
      </c>
      <c r="Y161" s="265" t="str">
        <f t="shared" si="52"/>
        <v>OK</v>
      </c>
      <c r="Z161" s="265" t="str">
        <f t="shared" si="52"/>
        <v>OK</v>
      </c>
      <c r="AA161" s="265" t="str">
        <f t="shared" si="52"/>
        <v>OK</v>
      </c>
      <c r="AB161" s="265" t="str">
        <f t="shared" si="52"/>
        <v>OK</v>
      </c>
      <c r="AC161" s="265" t="str">
        <f t="shared" si="52"/>
        <v>OK</v>
      </c>
      <c r="AD161" s="265" t="str">
        <f t="shared" si="52"/>
        <v>OK</v>
      </c>
      <c r="AE161" s="265" t="str">
        <f t="shared" si="52"/>
        <v>OK</v>
      </c>
      <c r="AF161" s="265" t="str">
        <f t="shared" si="52"/>
        <v>OK</v>
      </c>
      <c r="AG161" s="265" t="str">
        <f t="shared" si="52"/>
        <v>OK</v>
      </c>
      <c r="AH161" s="265" t="str">
        <f t="shared" si="52"/>
        <v>OK</v>
      </c>
      <c r="AI161" s="265" t="str">
        <f t="shared" si="52"/>
        <v>OK</v>
      </c>
      <c r="AJ161" s="265" t="str">
        <f t="shared" si="52"/>
        <v>OK</v>
      </c>
      <c r="AK161" s="265" t="str">
        <f t="shared" si="52"/>
        <v>OK</v>
      </c>
      <c r="AL161" s="266" t="str">
        <f t="shared" si="52"/>
        <v>OK</v>
      </c>
    </row>
    <row r="162" spans="2:38" ht="14.25" hidden="1" outlineLevel="2">
      <c r="B162" s="290" t="s">
        <v>319</v>
      </c>
      <c r="C162" s="291"/>
      <c r="D162" s="87" t="s">
        <v>370</v>
      </c>
      <c r="E162" s="329" t="s">
        <v>31</v>
      </c>
      <c r="F162" s="330" t="s">
        <v>31</v>
      </c>
      <c r="G162" s="330" t="s">
        <v>31</v>
      </c>
      <c r="H162" s="331" t="s">
        <v>31</v>
      </c>
      <c r="I162" s="272" t="str">
        <f aca="true" t="shared" si="53" ref="I162:AL162">IF(I40&gt;=I41,"OK","BŁĄD")</f>
        <v>OK</v>
      </c>
      <c r="J162" s="265" t="str">
        <f t="shared" si="53"/>
        <v>OK</v>
      </c>
      <c r="K162" s="265" t="str">
        <f t="shared" si="53"/>
        <v>OK</v>
      </c>
      <c r="L162" s="265" t="str">
        <f t="shared" si="53"/>
        <v>OK</v>
      </c>
      <c r="M162" s="265" t="str">
        <f t="shared" si="53"/>
        <v>OK</v>
      </c>
      <c r="N162" s="265" t="str">
        <f t="shared" si="53"/>
        <v>OK</v>
      </c>
      <c r="O162" s="265" t="str">
        <f t="shared" si="53"/>
        <v>OK</v>
      </c>
      <c r="P162" s="265" t="str">
        <f t="shared" si="53"/>
        <v>OK</v>
      </c>
      <c r="Q162" s="265" t="str">
        <f t="shared" si="53"/>
        <v>OK</v>
      </c>
      <c r="R162" s="265" t="str">
        <f t="shared" si="53"/>
        <v>OK</v>
      </c>
      <c r="S162" s="265" t="str">
        <f t="shared" si="53"/>
        <v>OK</v>
      </c>
      <c r="T162" s="265" t="str">
        <f t="shared" si="53"/>
        <v>OK</v>
      </c>
      <c r="U162" s="265" t="str">
        <f t="shared" si="53"/>
        <v>OK</v>
      </c>
      <c r="V162" s="265" t="str">
        <f t="shared" si="53"/>
        <v>OK</v>
      </c>
      <c r="W162" s="265" t="str">
        <f t="shared" si="53"/>
        <v>OK</v>
      </c>
      <c r="X162" s="265" t="str">
        <f t="shared" si="53"/>
        <v>OK</v>
      </c>
      <c r="Y162" s="265" t="str">
        <f t="shared" si="53"/>
        <v>OK</v>
      </c>
      <c r="Z162" s="265" t="str">
        <f t="shared" si="53"/>
        <v>OK</v>
      </c>
      <c r="AA162" s="265" t="str">
        <f t="shared" si="53"/>
        <v>OK</v>
      </c>
      <c r="AB162" s="265" t="str">
        <f t="shared" si="53"/>
        <v>OK</v>
      </c>
      <c r="AC162" s="265" t="str">
        <f t="shared" si="53"/>
        <v>OK</v>
      </c>
      <c r="AD162" s="265" t="str">
        <f t="shared" si="53"/>
        <v>OK</v>
      </c>
      <c r="AE162" s="265" t="str">
        <f t="shared" si="53"/>
        <v>OK</v>
      </c>
      <c r="AF162" s="265" t="str">
        <f t="shared" si="53"/>
        <v>OK</v>
      </c>
      <c r="AG162" s="265" t="str">
        <f t="shared" si="53"/>
        <v>OK</v>
      </c>
      <c r="AH162" s="265" t="str">
        <f t="shared" si="53"/>
        <v>OK</v>
      </c>
      <c r="AI162" s="265" t="str">
        <f t="shared" si="53"/>
        <v>OK</v>
      </c>
      <c r="AJ162" s="265" t="str">
        <f t="shared" si="53"/>
        <v>OK</v>
      </c>
      <c r="AK162" s="265" t="str">
        <f t="shared" si="53"/>
        <v>OK</v>
      </c>
      <c r="AL162" s="266" t="str">
        <f t="shared" si="53"/>
        <v>OK</v>
      </c>
    </row>
    <row r="163" spans="2:38" ht="14.25" hidden="1" outlineLevel="2">
      <c r="B163" s="290" t="s">
        <v>316</v>
      </c>
      <c r="C163" s="291"/>
      <c r="D163" s="87" t="s">
        <v>367</v>
      </c>
      <c r="E163" s="329" t="s">
        <v>31</v>
      </c>
      <c r="F163" s="330" t="s">
        <v>31</v>
      </c>
      <c r="G163" s="330" t="s">
        <v>31</v>
      </c>
      <c r="H163" s="331" t="s">
        <v>31</v>
      </c>
      <c r="I163" s="272" t="str">
        <f aca="true" t="shared" si="54" ref="I163:AL163">IF(I41&gt;=I42,"OK","BŁĄD")</f>
        <v>OK</v>
      </c>
      <c r="J163" s="265" t="str">
        <f t="shared" si="54"/>
        <v>OK</v>
      </c>
      <c r="K163" s="265" t="str">
        <f t="shared" si="54"/>
        <v>OK</v>
      </c>
      <c r="L163" s="265" t="str">
        <f t="shared" si="54"/>
        <v>OK</v>
      </c>
      <c r="M163" s="265" t="str">
        <f t="shared" si="54"/>
        <v>OK</v>
      </c>
      <c r="N163" s="265" t="str">
        <f t="shared" si="54"/>
        <v>OK</v>
      </c>
      <c r="O163" s="265" t="str">
        <f t="shared" si="54"/>
        <v>OK</v>
      </c>
      <c r="P163" s="265" t="str">
        <f t="shared" si="54"/>
        <v>OK</v>
      </c>
      <c r="Q163" s="265" t="str">
        <f t="shared" si="54"/>
        <v>OK</v>
      </c>
      <c r="R163" s="265" t="str">
        <f t="shared" si="54"/>
        <v>OK</v>
      </c>
      <c r="S163" s="265" t="str">
        <f t="shared" si="54"/>
        <v>OK</v>
      </c>
      <c r="T163" s="265" t="str">
        <f t="shared" si="54"/>
        <v>OK</v>
      </c>
      <c r="U163" s="265" t="str">
        <f t="shared" si="54"/>
        <v>OK</v>
      </c>
      <c r="V163" s="265" t="str">
        <f t="shared" si="54"/>
        <v>OK</v>
      </c>
      <c r="W163" s="265" t="str">
        <f t="shared" si="54"/>
        <v>OK</v>
      </c>
      <c r="X163" s="265" t="str">
        <f t="shared" si="54"/>
        <v>OK</v>
      </c>
      <c r="Y163" s="265" t="str">
        <f t="shared" si="54"/>
        <v>OK</v>
      </c>
      <c r="Z163" s="265" t="str">
        <f t="shared" si="54"/>
        <v>OK</v>
      </c>
      <c r="AA163" s="265" t="str">
        <f t="shared" si="54"/>
        <v>OK</v>
      </c>
      <c r="AB163" s="265" t="str">
        <f t="shared" si="54"/>
        <v>OK</v>
      </c>
      <c r="AC163" s="265" t="str">
        <f t="shared" si="54"/>
        <v>OK</v>
      </c>
      <c r="AD163" s="265" t="str">
        <f t="shared" si="54"/>
        <v>OK</v>
      </c>
      <c r="AE163" s="265" t="str">
        <f t="shared" si="54"/>
        <v>OK</v>
      </c>
      <c r="AF163" s="265" t="str">
        <f t="shared" si="54"/>
        <v>OK</v>
      </c>
      <c r="AG163" s="265" t="str">
        <f t="shared" si="54"/>
        <v>OK</v>
      </c>
      <c r="AH163" s="265" t="str">
        <f t="shared" si="54"/>
        <v>OK</v>
      </c>
      <c r="AI163" s="265" t="str">
        <f t="shared" si="54"/>
        <v>OK</v>
      </c>
      <c r="AJ163" s="265" t="str">
        <f t="shared" si="54"/>
        <v>OK</v>
      </c>
      <c r="AK163" s="265" t="str">
        <f t="shared" si="54"/>
        <v>OK</v>
      </c>
      <c r="AL163" s="266" t="str">
        <f t="shared" si="54"/>
        <v>OK</v>
      </c>
    </row>
    <row r="164" spans="2:38" ht="14.25" hidden="1" outlineLevel="2">
      <c r="B164" s="290" t="s">
        <v>317</v>
      </c>
      <c r="C164" s="291"/>
      <c r="D164" s="87" t="s">
        <v>368</v>
      </c>
      <c r="E164" s="329" t="s">
        <v>31</v>
      </c>
      <c r="F164" s="330" t="s">
        <v>31</v>
      </c>
      <c r="G164" s="330" t="s">
        <v>31</v>
      </c>
      <c r="H164" s="331" t="s">
        <v>31</v>
      </c>
      <c r="I164" s="272" t="str">
        <f aca="true" t="shared" si="55" ref="I164:AL164">IF(I40&gt;=I66,"OK","BŁĄD")</f>
        <v>OK</v>
      </c>
      <c r="J164" s="265" t="str">
        <f t="shared" si="55"/>
        <v>OK</v>
      </c>
      <c r="K164" s="265" t="str">
        <f t="shared" si="55"/>
        <v>OK</v>
      </c>
      <c r="L164" s="265" t="str">
        <f t="shared" si="55"/>
        <v>OK</v>
      </c>
      <c r="M164" s="265" t="str">
        <f t="shared" si="55"/>
        <v>OK</v>
      </c>
      <c r="N164" s="265" t="str">
        <f t="shared" si="55"/>
        <v>OK</v>
      </c>
      <c r="O164" s="265" t="str">
        <f t="shared" si="55"/>
        <v>OK</v>
      </c>
      <c r="P164" s="265" t="str">
        <f t="shared" si="55"/>
        <v>OK</v>
      </c>
      <c r="Q164" s="265" t="str">
        <f t="shared" si="55"/>
        <v>OK</v>
      </c>
      <c r="R164" s="265" t="str">
        <f t="shared" si="55"/>
        <v>OK</v>
      </c>
      <c r="S164" s="265" t="str">
        <f t="shared" si="55"/>
        <v>OK</v>
      </c>
      <c r="T164" s="265" t="str">
        <f t="shared" si="55"/>
        <v>OK</v>
      </c>
      <c r="U164" s="265" t="str">
        <f t="shared" si="55"/>
        <v>OK</v>
      </c>
      <c r="V164" s="265" t="str">
        <f t="shared" si="55"/>
        <v>OK</v>
      </c>
      <c r="W164" s="265" t="str">
        <f t="shared" si="55"/>
        <v>OK</v>
      </c>
      <c r="X164" s="265" t="str">
        <f t="shared" si="55"/>
        <v>OK</v>
      </c>
      <c r="Y164" s="265" t="str">
        <f t="shared" si="55"/>
        <v>OK</v>
      </c>
      <c r="Z164" s="265" t="str">
        <f t="shared" si="55"/>
        <v>OK</v>
      </c>
      <c r="AA164" s="265" t="str">
        <f t="shared" si="55"/>
        <v>OK</v>
      </c>
      <c r="AB164" s="265" t="str">
        <f t="shared" si="55"/>
        <v>OK</v>
      </c>
      <c r="AC164" s="265" t="str">
        <f t="shared" si="55"/>
        <v>OK</v>
      </c>
      <c r="AD164" s="265" t="str">
        <f t="shared" si="55"/>
        <v>OK</v>
      </c>
      <c r="AE164" s="265" t="str">
        <f t="shared" si="55"/>
        <v>OK</v>
      </c>
      <c r="AF164" s="265" t="str">
        <f t="shared" si="55"/>
        <v>OK</v>
      </c>
      <c r="AG164" s="265" t="str">
        <f t="shared" si="55"/>
        <v>OK</v>
      </c>
      <c r="AH164" s="265" t="str">
        <f t="shared" si="55"/>
        <v>OK</v>
      </c>
      <c r="AI164" s="265" t="str">
        <f t="shared" si="55"/>
        <v>OK</v>
      </c>
      <c r="AJ164" s="265" t="str">
        <f t="shared" si="55"/>
        <v>OK</v>
      </c>
      <c r="AK164" s="265" t="str">
        <f t="shared" si="55"/>
        <v>OK</v>
      </c>
      <c r="AL164" s="266" t="str">
        <f t="shared" si="55"/>
        <v>OK</v>
      </c>
    </row>
    <row r="165" spans="2:38" ht="14.25" hidden="1" outlineLevel="2">
      <c r="B165" s="290" t="s">
        <v>318</v>
      </c>
      <c r="C165" s="291"/>
      <c r="D165" s="87" t="s">
        <v>369</v>
      </c>
      <c r="E165" s="329" t="s">
        <v>31</v>
      </c>
      <c r="F165" s="330" t="s">
        <v>31</v>
      </c>
      <c r="G165" s="330" t="s">
        <v>31</v>
      </c>
      <c r="H165" s="331" t="s">
        <v>31</v>
      </c>
      <c r="I165" s="272" t="str">
        <f aca="true" t="shared" si="56" ref="I165:AL165">IF(I40&gt;=I98,"OK","BŁĄD")</f>
        <v>OK</v>
      </c>
      <c r="J165" s="265" t="str">
        <f t="shared" si="56"/>
        <v>OK</v>
      </c>
      <c r="K165" s="265" t="str">
        <f t="shared" si="56"/>
        <v>OK</v>
      </c>
      <c r="L165" s="265" t="str">
        <f t="shared" si="56"/>
        <v>OK</v>
      </c>
      <c r="M165" s="265" t="str">
        <f t="shared" si="56"/>
        <v>OK</v>
      </c>
      <c r="N165" s="265" t="str">
        <f t="shared" si="56"/>
        <v>OK</v>
      </c>
      <c r="O165" s="265" t="str">
        <f t="shared" si="56"/>
        <v>OK</v>
      </c>
      <c r="P165" s="265" t="str">
        <f t="shared" si="56"/>
        <v>OK</v>
      </c>
      <c r="Q165" s="265" t="str">
        <f t="shared" si="56"/>
        <v>OK</v>
      </c>
      <c r="R165" s="265" t="str">
        <f t="shared" si="56"/>
        <v>OK</v>
      </c>
      <c r="S165" s="265" t="str">
        <f t="shared" si="56"/>
        <v>OK</v>
      </c>
      <c r="T165" s="265" t="str">
        <f t="shared" si="56"/>
        <v>OK</v>
      </c>
      <c r="U165" s="265" t="str">
        <f t="shared" si="56"/>
        <v>OK</v>
      </c>
      <c r="V165" s="265" t="str">
        <f t="shared" si="56"/>
        <v>OK</v>
      </c>
      <c r="W165" s="265" t="str">
        <f t="shared" si="56"/>
        <v>OK</v>
      </c>
      <c r="X165" s="265" t="str">
        <f t="shared" si="56"/>
        <v>OK</v>
      </c>
      <c r="Y165" s="265" t="str">
        <f t="shared" si="56"/>
        <v>OK</v>
      </c>
      <c r="Z165" s="265" t="str">
        <f t="shared" si="56"/>
        <v>OK</v>
      </c>
      <c r="AA165" s="265" t="str">
        <f t="shared" si="56"/>
        <v>OK</v>
      </c>
      <c r="AB165" s="265" t="str">
        <f t="shared" si="56"/>
        <v>OK</v>
      </c>
      <c r="AC165" s="265" t="str">
        <f t="shared" si="56"/>
        <v>OK</v>
      </c>
      <c r="AD165" s="265" t="str">
        <f t="shared" si="56"/>
        <v>OK</v>
      </c>
      <c r="AE165" s="265" t="str">
        <f t="shared" si="56"/>
        <v>OK</v>
      </c>
      <c r="AF165" s="265" t="str">
        <f t="shared" si="56"/>
        <v>OK</v>
      </c>
      <c r="AG165" s="265" t="str">
        <f t="shared" si="56"/>
        <v>OK</v>
      </c>
      <c r="AH165" s="265" t="str">
        <f t="shared" si="56"/>
        <v>OK</v>
      </c>
      <c r="AI165" s="265" t="str">
        <f t="shared" si="56"/>
        <v>OK</v>
      </c>
      <c r="AJ165" s="265" t="str">
        <f t="shared" si="56"/>
        <v>OK</v>
      </c>
      <c r="AK165" s="265" t="str">
        <f t="shared" si="56"/>
        <v>OK</v>
      </c>
      <c r="AL165" s="266" t="str">
        <f t="shared" si="56"/>
        <v>OK</v>
      </c>
    </row>
    <row r="166" spans="2:38" ht="14.25" hidden="1" outlineLevel="2">
      <c r="B166" s="290" t="s">
        <v>322</v>
      </c>
      <c r="C166" s="291"/>
      <c r="D166" s="87" t="s">
        <v>373</v>
      </c>
      <c r="E166" s="329" t="s">
        <v>31</v>
      </c>
      <c r="F166" s="330" t="s">
        <v>31</v>
      </c>
      <c r="G166" s="330" t="s">
        <v>31</v>
      </c>
      <c r="H166" s="331" t="s">
        <v>31</v>
      </c>
      <c r="I166" s="272" t="str">
        <f aca="true" t="shared" si="57" ref="I166:AL166">IF(I44&gt;=I45,"OK","BŁĄD")</f>
        <v>OK</v>
      </c>
      <c r="J166" s="265" t="str">
        <f t="shared" si="57"/>
        <v>OK</v>
      </c>
      <c r="K166" s="265" t="str">
        <f t="shared" si="57"/>
        <v>OK</v>
      </c>
      <c r="L166" s="265" t="str">
        <f t="shared" si="57"/>
        <v>OK</v>
      </c>
      <c r="M166" s="265" t="str">
        <f t="shared" si="57"/>
        <v>OK</v>
      </c>
      <c r="N166" s="265" t="str">
        <f t="shared" si="57"/>
        <v>OK</v>
      </c>
      <c r="O166" s="265" t="str">
        <f t="shared" si="57"/>
        <v>OK</v>
      </c>
      <c r="P166" s="265" t="str">
        <f t="shared" si="57"/>
        <v>OK</v>
      </c>
      <c r="Q166" s="265" t="str">
        <f t="shared" si="57"/>
        <v>OK</v>
      </c>
      <c r="R166" s="265" t="str">
        <f t="shared" si="57"/>
        <v>OK</v>
      </c>
      <c r="S166" s="265" t="str">
        <f t="shared" si="57"/>
        <v>OK</v>
      </c>
      <c r="T166" s="265" t="str">
        <f t="shared" si="57"/>
        <v>OK</v>
      </c>
      <c r="U166" s="265" t="str">
        <f t="shared" si="57"/>
        <v>OK</v>
      </c>
      <c r="V166" s="265" t="str">
        <f t="shared" si="57"/>
        <v>OK</v>
      </c>
      <c r="W166" s="265" t="str">
        <f t="shared" si="57"/>
        <v>OK</v>
      </c>
      <c r="X166" s="265" t="str">
        <f t="shared" si="57"/>
        <v>OK</v>
      </c>
      <c r="Y166" s="265" t="str">
        <f t="shared" si="57"/>
        <v>OK</v>
      </c>
      <c r="Z166" s="265" t="str">
        <f t="shared" si="57"/>
        <v>OK</v>
      </c>
      <c r="AA166" s="265" t="str">
        <f t="shared" si="57"/>
        <v>OK</v>
      </c>
      <c r="AB166" s="265" t="str">
        <f t="shared" si="57"/>
        <v>OK</v>
      </c>
      <c r="AC166" s="265" t="str">
        <f t="shared" si="57"/>
        <v>OK</v>
      </c>
      <c r="AD166" s="265" t="str">
        <f t="shared" si="57"/>
        <v>OK</v>
      </c>
      <c r="AE166" s="265" t="str">
        <f t="shared" si="57"/>
        <v>OK</v>
      </c>
      <c r="AF166" s="265" t="str">
        <f t="shared" si="57"/>
        <v>OK</v>
      </c>
      <c r="AG166" s="265" t="str">
        <f t="shared" si="57"/>
        <v>OK</v>
      </c>
      <c r="AH166" s="265" t="str">
        <f t="shared" si="57"/>
        <v>OK</v>
      </c>
      <c r="AI166" s="265" t="str">
        <f t="shared" si="57"/>
        <v>OK</v>
      </c>
      <c r="AJ166" s="265" t="str">
        <f t="shared" si="57"/>
        <v>OK</v>
      </c>
      <c r="AK166" s="265" t="str">
        <f t="shared" si="57"/>
        <v>OK</v>
      </c>
      <c r="AL166" s="266" t="str">
        <f t="shared" si="57"/>
        <v>OK</v>
      </c>
    </row>
    <row r="167" spans="2:38" ht="14.25" hidden="1" outlineLevel="2">
      <c r="B167" s="290" t="s">
        <v>323</v>
      </c>
      <c r="C167" s="291"/>
      <c r="D167" s="87" t="s">
        <v>374</v>
      </c>
      <c r="E167" s="329" t="s">
        <v>31</v>
      </c>
      <c r="F167" s="330" t="s">
        <v>31</v>
      </c>
      <c r="G167" s="330" t="s">
        <v>31</v>
      </c>
      <c r="H167" s="331" t="s">
        <v>31</v>
      </c>
      <c r="I167" s="272" t="str">
        <f aca="true" t="shared" si="58" ref="I167:AL167">IF(I44&gt;=I49,"OK","BŁĄD")</f>
        <v>OK</v>
      </c>
      <c r="J167" s="265" t="str">
        <f t="shared" si="58"/>
        <v>OK</v>
      </c>
      <c r="K167" s="265" t="str">
        <f t="shared" si="58"/>
        <v>OK</v>
      </c>
      <c r="L167" s="265" t="str">
        <f t="shared" si="58"/>
        <v>OK</v>
      </c>
      <c r="M167" s="265" t="str">
        <f t="shared" si="58"/>
        <v>OK</v>
      </c>
      <c r="N167" s="265" t="str">
        <f t="shared" si="58"/>
        <v>OK</v>
      </c>
      <c r="O167" s="265" t="str">
        <f t="shared" si="58"/>
        <v>OK</v>
      </c>
      <c r="P167" s="265" t="str">
        <f t="shared" si="58"/>
        <v>OK</v>
      </c>
      <c r="Q167" s="265" t="str">
        <f t="shared" si="58"/>
        <v>OK</v>
      </c>
      <c r="R167" s="265" t="str">
        <f t="shared" si="58"/>
        <v>OK</v>
      </c>
      <c r="S167" s="265" t="str">
        <f t="shared" si="58"/>
        <v>OK</v>
      </c>
      <c r="T167" s="265" t="str">
        <f t="shared" si="58"/>
        <v>OK</v>
      </c>
      <c r="U167" s="265" t="str">
        <f t="shared" si="58"/>
        <v>OK</v>
      </c>
      <c r="V167" s="265" t="str">
        <f t="shared" si="58"/>
        <v>OK</v>
      </c>
      <c r="W167" s="265" t="str">
        <f t="shared" si="58"/>
        <v>OK</v>
      </c>
      <c r="X167" s="265" t="str">
        <f t="shared" si="58"/>
        <v>OK</v>
      </c>
      <c r="Y167" s="265" t="str">
        <f t="shared" si="58"/>
        <v>OK</v>
      </c>
      <c r="Z167" s="265" t="str">
        <f t="shared" si="58"/>
        <v>OK</v>
      </c>
      <c r="AA167" s="265" t="str">
        <f t="shared" si="58"/>
        <v>OK</v>
      </c>
      <c r="AB167" s="265" t="str">
        <f t="shared" si="58"/>
        <v>OK</v>
      </c>
      <c r="AC167" s="265" t="str">
        <f t="shared" si="58"/>
        <v>OK</v>
      </c>
      <c r="AD167" s="265" t="str">
        <f t="shared" si="58"/>
        <v>OK</v>
      </c>
      <c r="AE167" s="265" t="str">
        <f t="shared" si="58"/>
        <v>OK</v>
      </c>
      <c r="AF167" s="265" t="str">
        <f t="shared" si="58"/>
        <v>OK</v>
      </c>
      <c r="AG167" s="265" t="str">
        <f t="shared" si="58"/>
        <v>OK</v>
      </c>
      <c r="AH167" s="265" t="str">
        <f t="shared" si="58"/>
        <v>OK</v>
      </c>
      <c r="AI167" s="265" t="str">
        <f t="shared" si="58"/>
        <v>OK</v>
      </c>
      <c r="AJ167" s="265" t="str">
        <f t="shared" si="58"/>
        <v>OK</v>
      </c>
      <c r="AK167" s="265" t="str">
        <f t="shared" si="58"/>
        <v>OK</v>
      </c>
      <c r="AL167" s="266" t="str">
        <f t="shared" si="58"/>
        <v>OK</v>
      </c>
    </row>
    <row r="168" spans="2:38" ht="14.25" hidden="1" outlineLevel="2">
      <c r="B168" s="290" t="s">
        <v>321</v>
      </c>
      <c r="C168" s="291"/>
      <c r="D168" s="87" t="s">
        <v>372</v>
      </c>
      <c r="E168" s="329" t="s">
        <v>31</v>
      </c>
      <c r="F168" s="330" t="s">
        <v>31</v>
      </c>
      <c r="G168" s="330" t="s">
        <v>31</v>
      </c>
      <c r="H168" s="331" t="s">
        <v>31</v>
      </c>
      <c r="I168" s="272" t="str">
        <f aca="true" t="shared" si="59" ref="I168:AL168">IF(I44&gt;=I99,"OK","BŁĄD")</f>
        <v>OK</v>
      </c>
      <c r="J168" s="265" t="str">
        <f t="shared" si="59"/>
        <v>OK</v>
      </c>
      <c r="K168" s="265" t="str">
        <f t="shared" si="59"/>
        <v>OK</v>
      </c>
      <c r="L168" s="265" t="str">
        <f t="shared" si="59"/>
        <v>OK</v>
      </c>
      <c r="M168" s="265" t="str">
        <f t="shared" si="59"/>
        <v>OK</v>
      </c>
      <c r="N168" s="265" t="str">
        <f t="shared" si="59"/>
        <v>OK</v>
      </c>
      <c r="O168" s="265" t="str">
        <f t="shared" si="59"/>
        <v>OK</v>
      </c>
      <c r="P168" s="265" t="str">
        <f t="shared" si="59"/>
        <v>OK</v>
      </c>
      <c r="Q168" s="265" t="str">
        <f t="shared" si="59"/>
        <v>OK</v>
      </c>
      <c r="R168" s="265" t="str">
        <f t="shared" si="59"/>
        <v>OK</v>
      </c>
      <c r="S168" s="265" t="str">
        <f t="shared" si="59"/>
        <v>OK</v>
      </c>
      <c r="T168" s="265" t="str">
        <f t="shared" si="59"/>
        <v>OK</v>
      </c>
      <c r="U168" s="265" t="str">
        <f t="shared" si="59"/>
        <v>OK</v>
      </c>
      <c r="V168" s="265" t="str">
        <f t="shared" si="59"/>
        <v>OK</v>
      </c>
      <c r="W168" s="265" t="str">
        <f t="shared" si="59"/>
        <v>OK</v>
      </c>
      <c r="X168" s="265" t="str">
        <f t="shared" si="59"/>
        <v>OK</v>
      </c>
      <c r="Y168" s="265" t="str">
        <f t="shared" si="59"/>
        <v>OK</v>
      </c>
      <c r="Z168" s="265" t="str">
        <f t="shared" si="59"/>
        <v>OK</v>
      </c>
      <c r="AA168" s="265" t="str">
        <f t="shared" si="59"/>
        <v>OK</v>
      </c>
      <c r="AB168" s="265" t="str">
        <f t="shared" si="59"/>
        <v>OK</v>
      </c>
      <c r="AC168" s="265" t="str">
        <f t="shared" si="59"/>
        <v>OK</v>
      </c>
      <c r="AD168" s="265" t="str">
        <f t="shared" si="59"/>
        <v>OK</v>
      </c>
      <c r="AE168" s="265" t="str">
        <f t="shared" si="59"/>
        <v>OK</v>
      </c>
      <c r="AF168" s="265" t="str">
        <f t="shared" si="59"/>
        <v>OK</v>
      </c>
      <c r="AG168" s="265" t="str">
        <f t="shared" si="59"/>
        <v>OK</v>
      </c>
      <c r="AH168" s="265" t="str">
        <f t="shared" si="59"/>
        <v>OK</v>
      </c>
      <c r="AI168" s="265" t="str">
        <f t="shared" si="59"/>
        <v>OK</v>
      </c>
      <c r="AJ168" s="265" t="str">
        <f t="shared" si="59"/>
        <v>OK</v>
      </c>
      <c r="AK168" s="265" t="str">
        <f t="shared" si="59"/>
        <v>OK</v>
      </c>
      <c r="AL168" s="266" t="str">
        <f t="shared" si="59"/>
        <v>OK</v>
      </c>
    </row>
    <row r="169" spans="2:38" ht="14.25" hidden="1" outlineLevel="2">
      <c r="B169" s="290" t="s">
        <v>320</v>
      </c>
      <c r="C169" s="291"/>
      <c r="D169" s="87" t="s">
        <v>371</v>
      </c>
      <c r="E169" s="329" t="s">
        <v>31</v>
      </c>
      <c r="F169" s="330" t="s">
        <v>31</v>
      </c>
      <c r="G169" s="330" t="s">
        <v>31</v>
      </c>
      <c r="H169" s="331" t="s">
        <v>31</v>
      </c>
      <c r="I169" s="272" t="str">
        <f aca="true" t="shared" si="60" ref="I169:AL169">+IF(I45&gt;=I46,"OK","BŁĄD")</f>
        <v>OK</v>
      </c>
      <c r="J169" s="265" t="str">
        <f t="shared" si="60"/>
        <v>OK</v>
      </c>
      <c r="K169" s="265" t="str">
        <f t="shared" si="60"/>
        <v>OK</v>
      </c>
      <c r="L169" s="265" t="str">
        <f t="shared" si="60"/>
        <v>OK</v>
      </c>
      <c r="M169" s="265" t="str">
        <f t="shared" si="60"/>
        <v>OK</v>
      </c>
      <c r="N169" s="265" t="str">
        <f t="shared" si="60"/>
        <v>OK</v>
      </c>
      <c r="O169" s="265" t="str">
        <f t="shared" si="60"/>
        <v>OK</v>
      </c>
      <c r="P169" s="265" t="str">
        <f t="shared" si="60"/>
        <v>OK</v>
      </c>
      <c r="Q169" s="265" t="str">
        <f t="shared" si="60"/>
        <v>OK</v>
      </c>
      <c r="R169" s="265" t="str">
        <f t="shared" si="60"/>
        <v>OK</v>
      </c>
      <c r="S169" s="265" t="str">
        <f t="shared" si="60"/>
        <v>OK</v>
      </c>
      <c r="T169" s="265" t="str">
        <f t="shared" si="60"/>
        <v>OK</v>
      </c>
      <c r="U169" s="265" t="str">
        <f t="shared" si="60"/>
        <v>OK</v>
      </c>
      <c r="V169" s="265" t="str">
        <f t="shared" si="60"/>
        <v>OK</v>
      </c>
      <c r="W169" s="265" t="str">
        <f t="shared" si="60"/>
        <v>OK</v>
      </c>
      <c r="X169" s="265" t="str">
        <f t="shared" si="60"/>
        <v>OK</v>
      </c>
      <c r="Y169" s="265" t="str">
        <f t="shared" si="60"/>
        <v>OK</v>
      </c>
      <c r="Z169" s="265" t="str">
        <f t="shared" si="60"/>
        <v>OK</v>
      </c>
      <c r="AA169" s="265" t="str">
        <f t="shared" si="60"/>
        <v>OK</v>
      </c>
      <c r="AB169" s="265" t="str">
        <f t="shared" si="60"/>
        <v>OK</v>
      </c>
      <c r="AC169" s="265" t="str">
        <f t="shared" si="60"/>
        <v>OK</v>
      </c>
      <c r="AD169" s="265" t="str">
        <f t="shared" si="60"/>
        <v>OK</v>
      </c>
      <c r="AE169" s="265" t="str">
        <f t="shared" si="60"/>
        <v>OK</v>
      </c>
      <c r="AF169" s="265" t="str">
        <f t="shared" si="60"/>
        <v>OK</v>
      </c>
      <c r="AG169" s="265" t="str">
        <f t="shared" si="60"/>
        <v>OK</v>
      </c>
      <c r="AH169" s="265" t="str">
        <f t="shared" si="60"/>
        <v>OK</v>
      </c>
      <c r="AI169" s="265" t="str">
        <f t="shared" si="60"/>
        <v>OK</v>
      </c>
      <c r="AJ169" s="265" t="str">
        <f t="shared" si="60"/>
        <v>OK</v>
      </c>
      <c r="AK169" s="265" t="str">
        <f t="shared" si="60"/>
        <v>OK</v>
      </c>
      <c r="AL169" s="266" t="str">
        <f t="shared" si="60"/>
        <v>OK</v>
      </c>
    </row>
    <row r="170" spans="2:38" ht="14.25" hidden="1" outlineLevel="2">
      <c r="B170" s="290" t="s">
        <v>324</v>
      </c>
      <c r="C170" s="291"/>
      <c r="D170" s="87" t="s">
        <v>375</v>
      </c>
      <c r="E170" s="329" t="s">
        <v>31</v>
      </c>
      <c r="F170" s="330" t="s">
        <v>31</v>
      </c>
      <c r="G170" s="330" t="s">
        <v>31</v>
      </c>
      <c r="H170" s="331" t="s">
        <v>31</v>
      </c>
      <c r="I170" s="272" t="str">
        <f aca="true" t="shared" si="61" ref="I170:AL170">IF(I49&gt;=I90,"OK","BŁĄD")</f>
        <v>OK</v>
      </c>
      <c r="J170" s="265" t="str">
        <f t="shared" si="61"/>
        <v>OK</v>
      </c>
      <c r="K170" s="265" t="str">
        <f t="shared" si="61"/>
        <v>OK</v>
      </c>
      <c r="L170" s="265" t="str">
        <f t="shared" si="61"/>
        <v>OK</v>
      </c>
      <c r="M170" s="265" t="str">
        <f t="shared" si="61"/>
        <v>OK</v>
      </c>
      <c r="N170" s="265" t="str">
        <f t="shared" si="61"/>
        <v>OK</v>
      </c>
      <c r="O170" s="265" t="str">
        <f t="shared" si="61"/>
        <v>OK</v>
      </c>
      <c r="P170" s="265" t="str">
        <f t="shared" si="61"/>
        <v>OK</v>
      </c>
      <c r="Q170" s="265" t="str">
        <f t="shared" si="61"/>
        <v>OK</v>
      </c>
      <c r="R170" s="265" t="str">
        <f t="shared" si="61"/>
        <v>OK</v>
      </c>
      <c r="S170" s="265" t="str">
        <f t="shared" si="61"/>
        <v>OK</v>
      </c>
      <c r="T170" s="265" t="str">
        <f t="shared" si="61"/>
        <v>OK</v>
      </c>
      <c r="U170" s="265" t="str">
        <f t="shared" si="61"/>
        <v>OK</v>
      </c>
      <c r="V170" s="265" t="str">
        <f t="shared" si="61"/>
        <v>OK</v>
      </c>
      <c r="W170" s="265" t="str">
        <f t="shared" si="61"/>
        <v>OK</v>
      </c>
      <c r="X170" s="265" t="str">
        <f t="shared" si="61"/>
        <v>OK</v>
      </c>
      <c r="Y170" s="265" t="str">
        <f t="shared" si="61"/>
        <v>OK</v>
      </c>
      <c r="Z170" s="265" t="str">
        <f t="shared" si="61"/>
        <v>OK</v>
      </c>
      <c r="AA170" s="265" t="str">
        <f t="shared" si="61"/>
        <v>OK</v>
      </c>
      <c r="AB170" s="265" t="str">
        <f t="shared" si="61"/>
        <v>OK</v>
      </c>
      <c r="AC170" s="265" t="str">
        <f t="shared" si="61"/>
        <v>OK</v>
      </c>
      <c r="AD170" s="265" t="str">
        <f t="shared" si="61"/>
        <v>OK</v>
      </c>
      <c r="AE170" s="265" t="str">
        <f t="shared" si="61"/>
        <v>OK</v>
      </c>
      <c r="AF170" s="265" t="str">
        <f t="shared" si="61"/>
        <v>OK</v>
      </c>
      <c r="AG170" s="265" t="str">
        <f t="shared" si="61"/>
        <v>OK</v>
      </c>
      <c r="AH170" s="265" t="str">
        <f t="shared" si="61"/>
        <v>OK</v>
      </c>
      <c r="AI170" s="265" t="str">
        <f t="shared" si="61"/>
        <v>OK</v>
      </c>
      <c r="AJ170" s="265" t="str">
        <f t="shared" si="61"/>
        <v>OK</v>
      </c>
      <c r="AK170" s="265" t="str">
        <f t="shared" si="61"/>
        <v>OK</v>
      </c>
      <c r="AL170" s="266" t="str">
        <f t="shared" si="61"/>
        <v>OK</v>
      </c>
    </row>
    <row r="171" spans="2:38" ht="14.25" hidden="1" outlineLevel="2">
      <c r="B171" s="292" t="s">
        <v>325</v>
      </c>
      <c r="C171" s="293"/>
      <c r="D171" s="88" t="s">
        <v>376</v>
      </c>
      <c r="E171" s="333" t="s">
        <v>31</v>
      </c>
      <c r="F171" s="334" t="s">
        <v>31</v>
      </c>
      <c r="G171" s="334" t="s">
        <v>31</v>
      </c>
      <c r="H171" s="335" t="s">
        <v>31</v>
      </c>
      <c r="I171" s="273" t="str">
        <f aca="true" t="shared" si="62" ref="I171:AL171">IF(I26&lt;&gt;0,IF(I27&lt;&gt;0,"OK","BŁĄD"),"N/D")</f>
        <v>OK</v>
      </c>
      <c r="J171" s="269" t="str">
        <f t="shared" si="62"/>
        <v>OK</v>
      </c>
      <c r="K171" s="269" t="str">
        <f t="shared" si="62"/>
        <v>OK</v>
      </c>
      <c r="L171" s="269" t="str">
        <f t="shared" si="62"/>
        <v>OK</v>
      </c>
      <c r="M171" s="269" t="str">
        <f t="shared" si="62"/>
        <v>OK</v>
      </c>
      <c r="N171" s="269" t="str">
        <f t="shared" si="62"/>
        <v>OK</v>
      </c>
      <c r="O171" s="269" t="str">
        <f t="shared" si="62"/>
        <v>OK</v>
      </c>
      <c r="P171" s="269" t="str">
        <f t="shared" si="62"/>
        <v>OK</v>
      </c>
      <c r="Q171" s="269" t="str">
        <f t="shared" si="62"/>
        <v>OK</v>
      </c>
      <c r="R171" s="269" t="str">
        <f t="shared" si="62"/>
        <v>OK</v>
      </c>
      <c r="S171" s="269" t="str">
        <f t="shared" si="62"/>
        <v>OK</v>
      </c>
      <c r="T171" s="269" t="str">
        <f t="shared" si="62"/>
        <v>OK</v>
      </c>
      <c r="U171" s="269" t="str">
        <f t="shared" si="62"/>
        <v>OK</v>
      </c>
      <c r="V171" s="269" t="str">
        <f t="shared" si="62"/>
        <v>OK</v>
      </c>
      <c r="W171" s="269" t="str">
        <f t="shared" si="62"/>
        <v>N/D</v>
      </c>
      <c r="X171" s="269" t="str">
        <f t="shared" si="62"/>
        <v>N/D</v>
      </c>
      <c r="Y171" s="269" t="str">
        <f t="shared" si="62"/>
        <v>N/D</v>
      </c>
      <c r="Z171" s="269" t="str">
        <f t="shared" si="62"/>
        <v>N/D</v>
      </c>
      <c r="AA171" s="269" t="str">
        <f t="shared" si="62"/>
        <v>N/D</v>
      </c>
      <c r="AB171" s="269" t="str">
        <f t="shared" si="62"/>
        <v>N/D</v>
      </c>
      <c r="AC171" s="269" t="str">
        <f t="shared" si="62"/>
        <v>N/D</v>
      </c>
      <c r="AD171" s="269" t="str">
        <f t="shared" si="62"/>
        <v>N/D</v>
      </c>
      <c r="AE171" s="269" t="str">
        <f t="shared" si="62"/>
        <v>N/D</v>
      </c>
      <c r="AF171" s="269" t="str">
        <f t="shared" si="62"/>
        <v>N/D</v>
      </c>
      <c r="AG171" s="269" t="str">
        <f t="shared" si="62"/>
        <v>N/D</v>
      </c>
      <c r="AH171" s="269" t="str">
        <f t="shared" si="62"/>
        <v>N/D</v>
      </c>
      <c r="AI171" s="269" t="str">
        <f t="shared" si="62"/>
        <v>N/D</v>
      </c>
      <c r="AJ171" s="269" t="str">
        <f t="shared" si="62"/>
        <v>N/D</v>
      </c>
      <c r="AK171" s="269" t="str">
        <f t="shared" si="62"/>
        <v>N/D</v>
      </c>
      <c r="AL171" s="270" t="str">
        <f t="shared" si="62"/>
        <v>N/D</v>
      </c>
    </row>
    <row r="172" spans="2:38" ht="14.25" hidden="1" outlineLevel="2">
      <c r="B172" s="83"/>
      <c r="C172" s="83"/>
      <c r="D172" s="83"/>
      <c r="E172" s="23"/>
      <c r="F172" s="23"/>
      <c r="G172" s="23"/>
      <c r="H172" s="23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2:38" ht="14.25" hidden="1" outlineLevel="1">
      <c r="B173" s="83"/>
      <c r="C173" s="83"/>
      <c r="D173" s="262" t="s">
        <v>418</v>
      </c>
      <c r="E173" s="23"/>
      <c r="F173" s="23"/>
      <c r="G173" s="23"/>
      <c r="H173" s="23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</row>
    <row r="174" spans="2:39" ht="15" hidden="1" outlineLevel="2">
      <c r="B174" s="147"/>
      <c r="C174" s="147"/>
      <c r="D174" s="148" t="s">
        <v>32</v>
      </c>
      <c r="E174" s="196">
        <f aca="true" t="shared" si="63" ref="E174:AL174">E11+E18</f>
        <v>82775258</v>
      </c>
      <c r="F174" s="197">
        <f t="shared" si="63"/>
        <v>81499993</v>
      </c>
      <c r="G174" s="197">
        <f t="shared" si="63"/>
        <v>90042950</v>
      </c>
      <c r="H174" s="198">
        <f t="shared" si="63"/>
        <v>91273113</v>
      </c>
      <c r="I174" s="149">
        <f t="shared" si="63"/>
        <v>107375761</v>
      </c>
      <c r="J174" s="150">
        <f t="shared" si="63"/>
        <v>97368829</v>
      </c>
      <c r="K174" s="150">
        <f t="shared" si="63"/>
        <v>92156058</v>
      </c>
      <c r="L174" s="150">
        <f t="shared" si="63"/>
        <v>86856470</v>
      </c>
      <c r="M174" s="150">
        <f t="shared" si="63"/>
        <v>81955313</v>
      </c>
      <c r="N174" s="150">
        <f t="shared" si="63"/>
        <v>82849468</v>
      </c>
      <c r="O174" s="150">
        <f t="shared" si="63"/>
        <v>83340975</v>
      </c>
      <c r="P174" s="150">
        <f t="shared" si="63"/>
        <v>84280681</v>
      </c>
      <c r="Q174" s="150">
        <f t="shared" si="63"/>
        <v>85221748</v>
      </c>
      <c r="R174" s="150">
        <f t="shared" si="63"/>
        <v>85813281</v>
      </c>
      <c r="S174" s="150">
        <f t="shared" si="63"/>
        <v>86779531</v>
      </c>
      <c r="T174" s="150">
        <f t="shared" si="63"/>
        <v>87745781</v>
      </c>
      <c r="U174" s="150">
        <f t="shared" si="63"/>
        <v>88660000</v>
      </c>
      <c r="V174" s="150">
        <f t="shared" si="63"/>
        <v>89660000</v>
      </c>
      <c r="W174" s="150">
        <f t="shared" si="63"/>
        <v>0</v>
      </c>
      <c r="X174" s="150">
        <f t="shared" si="63"/>
        <v>0</v>
      </c>
      <c r="Y174" s="150">
        <f t="shared" si="63"/>
        <v>0</v>
      </c>
      <c r="Z174" s="150">
        <f t="shared" si="63"/>
        <v>0</v>
      </c>
      <c r="AA174" s="150">
        <f t="shared" si="63"/>
        <v>0</v>
      </c>
      <c r="AB174" s="150">
        <f t="shared" si="63"/>
        <v>0</v>
      </c>
      <c r="AC174" s="150">
        <f t="shared" si="63"/>
        <v>0</v>
      </c>
      <c r="AD174" s="150">
        <f t="shared" si="63"/>
        <v>0</v>
      </c>
      <c r="AE174" s="150">
        <f t="shared" si="63"/>
        <v>0</v>
      </c>
      <c r="AF174" s="150">
        <f t="shared" si="63"/>
        <v>0</v>
      </c>
      <c r="AG174" s="150">
        <f t="shared" si="63"/>
        <v>0</v>
      </c>
      <c r="AH174" s="150">
        <f t="shared" si="63"/>
        <v>0</v>
      </c>
      <c r="AI174" s="150">
        <f t="shared" si="63"/>
        <v>0</v>
      </c>
      <c r="AJ174" s="150">
        <f t="shared" si="63"/>
        <v>0</v>
      </c>
      <c r="AK174" s="150">
        <f t="shared" si="63"/>
        <v>0</v>
      </c>
      <c r="AL174" s="151">
        <f t="shared" si="63"/>
        <v>0</v>
      </c>
      <c r="AM174" s="147"/>
    </row>
    <row r="175" spans="2:39" ht="15" hidden="1" outlineLevel="2">
      <c r="B175" s="147"/>
      <c r="C175" s="147"/>
      <c r="D175" s="152" t="s">
        <v>33</v>
      </c>
      <c r="E175" s="199">
        <f aca="true" t="shared" si="64" ref="E175:AL175">E22+E28</f>
        <v>76238824</v>
      </c>
      <c r="F175" s="200">
        <f t="shared" si="64"/>
        <v>81534270</v>
      </c>
      <c r="G175" s="200">
        <f t="shared" si="64"/>
        <v>101163750</v>
      </c>
      <c r="H175" s="201">
        <f t="shared" si="64"/>
        <v>94986416</v>
      </c>
      <c r="I175" s="153">
        <f t="shared" si="64"/>
        <v>105001400</v>
      </c>
      <c r="J175" s="154">
        <f t="shared" si="64"/>
        <v>93048907</v>
      </c>
      <c r="K175" s="154">
        <f t="shared" si="64"/>
        <v>89654325</v>
      </c>
      <c r="L175" s="154">
        <f t="shared" si="64"/>
        <v>84354737</v>
      </c>
      <c r="M175" s="154">
        <f t="shared" si="64"/>
        <v>79453580</v>
      </c>
      <c r="N175" s="154">
        <f t="shared" si="64"/>
        <v>80347735</v>
      </c>
      <c r="O175" s="154">
        <f t="shared" si="64"/>
        <v>80839242</v>
      </c>
      <c r="P175" s="154">
        <f t="shared" si="64"/>
        <v>81778948</v>
      </c>
      <c r="Q175" s="154">
        <f t="shared" si="64"/>
        <v>82720017</v>
      </c>
      <c r="R175" s="154">
        <f t="shared" si="64"/>
        <v>83658813</v>
      </c>
      <c r="S175" s="154">
        <f t="shared" si="64"/>
        <v>84625063</v>
      </c>
      <c r="T175" s="154">
        <f t="shared" si="64"/>
        <v>85591321</v>
      </c>
      <c r="U175" s="154">
        <f t="shared" si="64"/>
        <v>88160000</v>
      </c>
      <c r="V175" s="154">
        <f t="shared" si="64"/>
        <v>89160000</v>
      </c>
      <c r="W175" s="154">
        <f t="shared" si="64"/>
        <v>0</v>
      </c>
      <c r="X175" s="154">
        <f t="shared" si="64"/>
        <v>0</v>
      </c>
      <c r="Y175" s="154">
        <f t="shared" si="64"/>
        <v>0</v>
      </c>
      <c r="Z175" s="154">
        <f t="shared" si="64"/>
        <v>0</v>
      </c>
      <c r="AA175" s="154">
        <f t="shared" si="64"/>
        <v>0</v>
      </c>
      <c r="AB175" s="154">
        <f t="shared" si="64"/>
        <v>0</v>
      </c>
      <c r="AC175" s="154">
        <f t="shared" si="64"/>
        <v>0</v>
      </c>
      <c r="AD175" s="154">
        <f t="shared" si="64"/>
        <v>0</v>
      </c>
      <c r="AE175" s="154">
        <f t="shared" si="64"/>
        <v>0</v>
      </c>
      <c r="AF175" s="154">
        <f t="shared" si="64"/>
        <v>0</v>
      </c>
      <c r="AG175" s="154">
        <f t="shared" si="64"/>
        <v>0</v>
      </c>
      <c r="AH175" s="154">
        <f t="shared" si="64"/>
        <v>0</v>
      </c>
      <c r="AI175" s="154">
        <f t="shared" si="64"/>
        <v>0</v>
      </c>
      <c r="AJ175" s="154">
        <f t="shared" si="64"/>
        <v>0</v>
      </c>
      <c r="AK175" s="154">
        <f t="shared" si="64"/>
        <v>0</v>
      </c>
      <c r="AL175" s="155">
        <f t="shared" si="64"/>
        <v>0</v>
      </c>
      <c r="AM175" s="147"/>
    </row>
    <row r="176" spans="2:39" ht="15" hidden="1" outlineLevel="2">
      <c r="B176" s="147"/>
      <c r="C176" s="147"/>
      <c r="D176" s="152" t="s">
        <v>381</v>
      </c>
      <c r="E176" s="199">
        <f aca="true" t="shared" si="65" ref="E176:AL176">E10-E21</f>
        <v>6536434</v>
      </c>
      <c r="F176" s="200">
        <f t="shared" si="65"/>
        <v>-34277</v>
      </c>
      <c r="G176" s="200">
        <f t="shared" si="65"/>
        <v>-11120800</v>
      </c>
      <c r="H176" s="201">
        <f t="shared" si="65"/>
        <v>-3713303</v>
      </c>
      <c r="I176" s="153">
        <f t="shared" si="65"/>
        <v>2374361</v>
      </c>
      <c r="J176" s="154">
        <f t="shared" si="65"/>
        <v>4319922</v>
      </c>
      <c r="K176" s="154">
        <f t="shared" si="65"/>
        <v>2501733</v>
      </c>
      <c r="L176" s="154">
        <f t="shared" si="65"/>
        <v>2501733</v>
      </c>
      <c r="M176" s="154">
        <f t="shared" si="65"/>
        <v>2501733</v>
      </c>
      <c r="N176" s="154">
        <f t="shared" si="65"/>
        <v>2501733</v>
      </c>
      <c r="O176" s="154">
        <f t="shared" si="65"/>
        <v>2501733</v>
      </c>
      <c r="P176" s="154">
        <f t="shared" si="65"/>
        <v>2501733</v>
      </c>
      <c r="Q176" s="154">
        <f t="shared" si="65"/>
        <v>2501731</v>
      </c>
      <c r="R176" s="154">
        <f t="shared" si="65"/>
        <v>2154468</v>
      </c>
      <c r="S176" s="154">
        <f t="shared" si="65"/>
        <v>2154468</v>
      </c>
      <c r="T176" s="154">
        <f t="shared" si="65"/>
        <v>2154460</v>
      </c>
      <c r="U176" s="154">
        <f t="shared" si="65"/>
        <v>500000</v>
      </c>
      <c r="V176" s="154">
        <f t="shared" si="65"/>
        <v>500000</v>
      </c>
      <c r="W176" s="154">
        <f t="shared" si="65"/>
        <v>0</v>
      </c>
      <c r="X176" s="154">
        <f t="shared" si="65"/>
        <v>0</v>
      </c>
      <c r="Y176" s="154">
        <f t="shared" si="65"/>
        <v>0</v>
      </c>
      <c r="Z176" s="154">
        <f t="shared" si="65"/>
        <v>0</v>
      </c>
      <c r="AA176" s="154">
        <f t="shared" si="65"/>
        <v>0</v>
      </c>
      <c r="AB176" s="154">
        <f t="shared" si="65"/>
        <v>0</v>
      </c>
      <c r="AC176" s="154">
        <f t="shared" si="65"/>
        <v>0</v>
      </c>
      <c r="AD176" s="154">
        <f t="shared" si="65"/>
        <v>0</v>
      </c>
      <c r="AE176" s="154">
        <f t="shared" si="65"/>
        <v>0</v>
      </c>
      <c r="AF176" s="154">
        <f t="shared" si="65"/>
        <v>0</v>
      </c>
      <c r="AG176" s="154">
        <f t="shared" si="65"/>
        <v>0</v>
      </c>
      <c r="AH176" s="154">
        <f t="shared" si="65"/>
        <v>0</v>
      </c>
      <c r="AI176" s="154">
        <f t="shared" si="65"/>
        <v>0</v>
      </c>
      <c r="AJ176" s="154">
        <f t="shared" si="65"/>
        <v>0</v>
      </c>
      <c r="AK176" s="154">
        <f t="shared" si="65"/>
        <v>0</v>
      </c>
      <c r="AL176" s="155">
        <f t="shared" si="65"/>
        <v>0</v>
      </c>
      <c r="AM176" s="147"/>
    </row>
    <row r="177" spans="2:39" ht="15" hidden="1" outlineLevel="2">
      <c r="B177" s="147"/>
      <c r="C177" s="147"/>
      <c r="D177" s="156" t="s">
        <v>382</v>
      </c>
      <c r="E177" s="297" t="s">
        <v>31</v>
      </c>
      <c r="F177" s="200">
        <f>E44+F35-F40+(F99-E99)+F104</f>
        <v>30435273</v>
      </c>
      <c r="G177" s="336" t="s">
        <v>31</v>
      </c>
      <c r="H177" s="201">
        <f>F44+H35-H40+(H99-F99)+H104</f>
        <v>43215362</v>
      </c>
      <c r="I177" s="153">
        <f aca="true" t="shared" si="66" ref="I177:AL177">H44+I35-I40+(I99-H99)+I104</f>
        <v>49895449</v>
      </c>
      <c r="J177" s="154">
        <f t="shared" si="66"/>
        <v>37575525</v>
      </c>
      <c r="K177" s="154">
        <f t="shared" si="66"/>
        <v>26473792</v>
      </c>
      <c r="L177" s="154">
        <f t="shared" si="66"/>
        <v>19972059</v>
      </c>
      <c r="M177" s="154">
        <f t="shared" si="66"/>
        <v>17470326</v>
      </c>
      <c r="N177" s="154">
        <f t="shared" si="66"/>
        <v>14968593</v>
      </c>
      <c r="O177" s="154">
        <f t="shared" si="66"/>
        <v>12466860</v>
      </c>
      <c r="P177" s="154">
        <f t="shared" si="66"/>
        <v>9965127</v>
      </c>
      <c r="Q177" s="154">
        <f t="shared" si="66"/>
        <v>7463396</v>
      </c>
      <c r="R177" s="154">
        <f t="shared" si="66"/>
        <v>5308928</v>
      </c>
      <c r="S177" s="154">
        <f t="shared" si="66"/>
        <v>3154460</v>
      </c>
      <c r="T177" s="154">
        <f t="shared" si="66"/>
        <v>1000000</v>
      </c>
      <c r="U177" s="154">
        <f t="shared" si="66"/>
        <v>500000</v>
      </c>
      <c r="V177" s="154">
        <f t="shared" si="66"/>
        <v>0</v>
      </c>
      <c r="W177" s="154">
        <f t="shared" si="66"/>
        <v>0</v>
      </c>
      <c r="X177" s="154">
        <f t="shared" si="66"/>
        <v>0</v>
      </c>
      <c r="Y177" s="154">
        <f t="shared" si="66"/>
        <v>0</v>
      </c>
      <c r="Z177" s="154">
        <f t="shared" si="66"/>
        <v>0</v>
      </c>
      <c r="AA177" s="154">
        <f t="shared" si="66"/>
        <v>0</v>
      </c>
      <c r="AB177" s="154">
        <f t="shared" si="66"/>
        <v>0</v>
      </c>
      <c r="AC177" s="154">
        <f t="shared" si="66"/>
        <v>0</v>
      </c>
      <c r="AD177" s="154">
        <f t="shared" si="66"/>
        <v>0</v>
      </c>
      <c r="AE177" s="154">
        <f t="shared" si="66"/>
        <v>0</v>
      </c>
      <c r="AF177" s="154">
        <f t="shared" si="66"/>
        <v>0</v>
      </c>
      <c r="AG177" s="154">
        <f t="shared" si="66"/>
        <v>0</v>
      </c>
      <c r="AH177" s="154">
        <f t="shared" si="66"/>
        <v>0</v>
      </c>
      <c r="AI177" s="154">
        <f t="shared" si="66"/>
        <v>0</v>
      </c>
      <c r="AJ177" s="154">
        <f t="shared" si="66"/>
        <v>0</v>
      </c>
      <c r="AK177" s="154">
        <f t="shared" si="66"/>
        <v>0</v>
      </c>
      <c r="AL177" s="155">
        <f t="shared" si="66"/>
        <v>0</v>
      </c>
      <c r="AM177" s="147"/>
    </row>
    <row r="178" spans="2:39" ht="24" hidden="1" outlineLevel="2">
      <c r="B178" s="147"/>
      <c r="C178" s="147"/>
      <c r="D178" s="157" t="s">
        <v>421</v>
      </c>
      <c r="E178" s="264" t="s">
        <v>31</v>
      </c>
      <c r="F178" s="202">
        <f>E90-(F92+F93+F94+F95)</f>
        <v>0</v>
      </c>
      <c r="G178" s="337" t="s">
        <v>31</v>
      </c>
      <c r="H178" s="203">
        <f>F90-(H92+H93+H94+H95)</f>
        <v>0</v>
      </c>
      <c r="I178" s="158">
        <f>H90-(I92+I93+I94+I95)</f>
        <v>0</v>
      </c>
      <c r="J178" s="159">
        <f aca="true" t="shared" si="67" ref="J178:AL178">I90-(J92+J93+J94+J95)</f>
        <v>0</v>
      </c>
      <c r="K178" s="159">
        <f t="shared" si="67"/>
        <v>0</v>
      </c>
      <c r="L178" s="159">
        <f t="shared" si="67"/>
        <v>0</v>
      </c>
      <c r="M178" s="159">
        <f t="shared" si="67"/>
        <v>0</v>
      </c>
      <c r="N178" s="159">
        <f t="shared" si="67"/>
        <v>0</v>
      </c>
      <c r="O178" s="159">
        <f t="shared" si="67"/>
        <v>0</v>
      </c>
      <c r="P178" s="159">
        <f t="shared" si="67"/>
        <v>0</v>
      </c>
      <c r="Q178" s="159">
        <f t="shared" si="67"/>
        <v>0</v>
      </c>
      <c r="R178" s="159">
        <f t="shared" si="67"/>
        <v>0</v>
      </c>
      <c r="S178" s="159">
        <f t="shared" si="67"/>
        <v>0</v>
      </c>
      <c r="T178" s="159">
        <f t="shared" si="67"/>
        <v>0</v>
      </c>
      <c r="U178" s="159">
        <f t="shared" si="67"/>
        <v>0</v>
      </c>
      <c r="V178" s="159">
        <f t="shared" si="67"/>
        <v>0</v>
      </c>
      <c r="W178" s="159">
        <f t="shared" si="67"/>
        <v>0</v>
      </c>
      <c r="X178" s="159">
        <f t="shared" si="67"/>
        <v>0</v>
      </c>
      <c r="Y178" s="159">
        <f t="shared" si="67"/>
        <v>0</v>
      </c>
      <c r="Z178" s="159">
        <f t="shared" si="67"/>
        <v>0</v>
      </c>
      <c r="AA178" s="159">
        <f t="shared" si="67"/>
        <v>0</v>
      </c>
      <c r="AB178" s="159">
        <f t="shared" si="67"/>
        <v>0</v>
      </c>
      <c r="AC178" s="159">
        <f t="shared" si="67"/>
        <v>0</v>
      </c>
      <c r="AD178" s="159">
        <f t="shared" si="67"/>
        <v>0</v>
      </c>
      <c r="AE178" s="159">
        <f t="shared" si="67"/>
        <v>0</v>
      </c>
      <c r="AF178" s="159">
        <f t="shared" si="67"/>
        <v>0</v>
      </c>
      <c r="AG178" s="159">
        <f t="shared" si="67"/>
        <v>0</v>
      </c>
      <c r="AH178" s="159">
        <f t="shared" si="67"/>
        <v>0</v>
      </c>
      <c r="AI178" s="159">
        <f t="shared" si="67"/>
        <v>0</v>
      </c>
      <c r="AJ178" s="159">
        <f t="shared" si="67"/>
        <v>0</v>
      </c>
      <c r="AK178" s="159">
        <f t="shared" si="67"/>
        <v>0</v>
      </c>
      <c r="AL178" s="160">
        <f t="shared" si="67"/>
        <v>0</v>
      </c>
      <c r="AM178" s="147"/>
    </row>
    <row r="179" spans="5:8" ht="14.25" hidden="1">
      <c r="E179" s="6"/>
      <c r="F179" s="6"/>
      <c r="G179" s="6"/>
      <c r="H179" s="6"/>
    </row>
    <row r="180" spans="4:8" ht="15.75" hidden="1">
      <c r="D180" s="259" t="s">
        <v>34</v>
      </c>
      <c r="E180" s="78"/>
      <c r="F180" s="78"/>
      <c r="G180" s="78"/>
      <c r="H180" s="78"/>
    </row>
    <row r="181" spans="4:8" ht="14.25" hidden="1" outlineLevel="1">
      <c r="D181" s="260" t="s">
        <v>39</v>
      </c>
      <c r="E181" s="79"/>
      <c r="F181" s="79"/>
      <c r="G181" s="79"/>
      <c r="H181" s="79"/>
    </row>
    <row r="182" spans="4:38" ht="14.25" hidden="1" outlineLevel="2">
      <c r="D182" s="29">
        <v>0</v>
      </c>
      <c r="E182" s="32" t="str">
        <f>+"różnica mniejsza od "&amp;TEXT(D182*100,"0,0")&amp;"%"</f>
        <v>różnica mniejsza od 0,0%</v>
      </c>
      <c r="F182" s="80"/>
      <c r="G182" s="80"/>
      <c r="H182" s="80"/>
      <c r="I18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4:38" ht="14.25" hidden="1" outlineLevel="2">
      <c r="D183" s="30">
        <v>0.005</v>
      </c>
      <c r="E183" s="32" t="str">
        <f>+"różnica mniejsza od "&amp;TEXT(D183*100,"0,0")&amp;"%"</f>
        <v>różnica mniejsza od 0,5%</v>
      </c>
      <c r="F183" s="80"/>
      <c r="G183" s="80"/>
      <c r="H183" s="80"/>
      <c r="I18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4:38" ht="14.25" hidden="1" outlineLevel="2">
      <c r="D184" s="31">
        <v>0.01</v>
      </c>
      <c r="E184" s="32" t="str">
        <f>+"różnica mniejsza od "&amp;TEXT(D184*100,"0,0")&amp;"%"</f>
        <v>różnica mniejsza od 1,0%</v>
      </c>
      <c r="F184" s="80"/>
      <c r="G184" s="80"/>
      <c r="H184" s="80"/>
      <c r="I18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4:38" ht="14.25" hidden="1" outlineLevel="2">
      <c r="D185" s="244" t="s">
        <v>403</v>
      </c>
      <c r="E185" s="303" t="s">
        <v>31</v>
      </c>
      <c r="F185" s="304" t="s">
        <v>31</v>
      </c>
      <c r="G185" s="304" t="s">
        <v>31</v>
      </c>
      <c r="H185" s="305" t="s">
        <v>31</v>
      </c>
      <c r="I185" s="245">
        <f aca="true" t="shared" si="68" ref="I185:AL185">+IF(I10=0,"",I61-I56)</f>
        <v>0.008799999999999995</v>
      </c>
      <c r="J185" s="246">
        <f t="shared" si="68"/>
        <v>0.040400000000000005</v>
      </c>
      <c r="K185" s="246">
        <f t="shared" si="68"/>
        <v>0.1189</v>
      </c>
      <c r="L185" s="246">
        <f t="shared" si="68"/>
        <v>0.1331</v>
      </c>
      <c r="M185" s="246">
        <f t="shared" si="68"/>
        <v>0.1189</v>
      </c>
      <c r="N185" s="246">
        <f t="shared" si="68"/>
        <v>0.0668</v>
      </c>
      <c r="O185" s="246">
        <f t="shared" si="68"/>
        <v>0.026600000000000006</v>
      </c>
      <c r="P185" s="246">
        <f t="shared" si="68"/>
        <v>0.0049999999999999975</v>
      </c>
      <c r="Q185" s="246">
        <f t="shared" si="68"/>
        <v>0.0046</v>
      </c>
      <c r="R185" s="246">
        <f t="shared" si="68"/>
        <v>0.008199999999999999</v>
      </c>
      <c r="S185" s="246">
        <f t="shared" si="68"/>
        <v>0.008199999999999999</v>
      </c>
      <c r="T185" s="246">
        <f t="shared" si="68"/>
        <v>0.007999999999999997</v>
      </c>
      <c r="U185" s="246">
        <f t="shared" si="68"/>
        <v>0.026199999999999998</v>
      </c>
      <c r="V185" s="246">
        <f t="shared" si="68"/>
        <v>0.0201</v>
      </c>
      <c r="W185" s="246">
        <f t="shared" si="68"/>
      </c>
      <c r="X185" s="246">
        <f t="shared" si="68"/>
      </c>
      <c r="Y185" s="246">
        <f t="shared" si="68"/>
      </c>
      <c r="Z185" s="246">
        <f t="shared" si="68"/>
      </c>
      <c r="AA185" s="246">
        <f t="shared" si="68"/>
      </c>
      <c r="AB185" s="246">
        <f t="shared" si="68"/>
      </c>
      <c r="AC185" s="246">
        <f t="shared" si="68"/>
      </c>
      <c r="AD185" s="246">
        <f t="shared" si="68"/>
      </c>
      <c r="AE185" s="246">
        <f t="shared" si="68"/>
      </c>
      <c r="AF185" s="246">
        <f t="shared" si="68"/>
      </c>
      <c r="AG185" s="246">
        <f t="shared" si="68"/>
      </c>
      <c r="AH185" s="246">
        <f t="shared" si="68"/>
      </c>
      <c r="AI185" s="246">
        <f t="shared" si="68"/>
      </c>
      <c r="AJ185" s="246">
        <f t="shared" si="68"/>
      </c>
      <c r="AK185" s="246">
        <f t="shared" si="68"/>
      </c>
      <c r="AL185" s="247">
        <f t="shared" si="68"/>
      </c>
    </row>
    <row r="186" spans="4:38" ht="14.25" hidden="1" outlineLevel="2">
      <c r="D186" s="248" t="s">
        <v>404</v>
      </c>
      <c r="E186" s="306" t="s">
        <v>31</v>
      </c>
      <c r="F186" s="307" t="s">
        <v>31</v>
      </c>
      <c r="G186" s="307" t="s">
        <v>31</v>
      </c>
      <c r="H186" s="308" t="s">
        <v>31</v>
      </c>
      <c r="I186" s="249">
        <f aca="true" t="shared" si="69" ref="I186:AL186">+IF(I10=0,"",I61-I57)</f>
        <v>0.008799999999999995</v>
      </c>
      <c r="J186" s="250">
        <f t="shared" si="69"/>
        <v>0.040400000000000005</v>
      </c>
      <c r="K186" s="250">
        <f t="shared" si="69"/>
        <v>0.1189</v>
      </c>
      <c r="L186" s="250">
        <f t="shared" si="69"/>
        <v>0.1331</v>
      </c>
      <c r="M186" s="250">
        <f t="shared" si="69"/>
        <v>0.1189</v>
      </c>
      <c r="N186" s="250">
        <f t="shared" si="69"/>
        <v>0.0668</v>
      </c>
      <c r="O186" s="250">
        <f t="shared" si="69"/>
        <v>0.026600000000000006</v>
      </c>
      <c r="P186" s="250">
        <f t="shared" si="69"/>
        <v>0.0049999999999999975</v>
      </c>
      <c r="Q186" s="250">
        <f t="shared" si="69"/>
        <v>0.0046</v>
      </c>
      <c r="R186" s="250">
        <f t="shared" si="69"/>
        <v>0.008199999999999999</v>
      </c>
      <c r="S186" s="250">
        <f t="shared" si="69"/>
        <v>0.008199999999999999</v>
      </c>
      <c r="T186" s="250">
        <f t="shared" si="69"/>
        <v>0.007999999999999997</v>
      </c>
      <c r="U186" s="250">
        <f t="shared" si="69"/>
        <v>0.026199999999999998</v>
      </c>
      <c r="V186" s="250">
        <f t="shared" si="69"/>
        <v>0.0201</v>
      </c>
      <c r="W186" s="250">
        <f t="shared" si="69"/>
      </c>
      <c r="X186" s="250">
        <f t="shared" si="69"/>
      </c>
      <c r="Y186" s="250">
        <f t="shared" si="69"/>
      </c>
      <c r="Z186" s="250">
        <f t="shared" si="69"/>
      </c>
      <c r="AA186" s="250">
        <f t="shared" si="69"/>
      </c>
      <c r="AB186" s="250">
        <f t="shared" si="69"/>
      </c>
      <c r="AC186" s="250">
        <f t="shared" si="69"/>
      </c>
      <c r="AD186" s="250">
        <f t="shared" si="69"/>
      </c>
      <c r="AE186" s="250">
        <f t="shared" si="69"/>
      </c>
      <c r="AF186" s="250">
        <f t="shared" si="69"/>
      </c>
      <c r="AG186" s="250">
        <f t="shared" si="69"/>
      </c>
      <c r="AH186" s="250">
        <f t="shared" si="69"/>
      </c>
      <c r="AI186" s="250">
        <f t="shared" si="69"/>
      </c>
      <c r="AJ186" s="250">
        <f t="shared" si="69"/>
      </c>
      <c r="AK186" s="250">
        <f t="shared" si="69"/>
      </c>
      <c r="AL186" s="251">
        <f t="shared" si="69"/>
      </c>
    </row>
    <row r="187" spans="4:38" ht="14.25" hidden="1" outlineLevel="2">
      <c r="D187" s="244" t="s">
        <v>405</v>
      </c>
      <c r="E187" s="303" t="s">
        <v>31</v>
      </c>
      <c r="F187" s="304" t="s">
        <v>31</v>
      </c>
      <c r="G187" s="304" t="s">
        <v>31</v>
      </c>
      <c r="H187" s="305" t="s">
        <v>31</v>
      </c>
      <c r="I187" s="245">
        <f aca="true" t="shared" si="70" ref="I187:AL187">+IF(I10=0,"",I62-I56)</f>
        <v>0.0288</v>
      </c>
      <c r="J187" s="246">
        <f t="shared" si="70"/>
        <v>0.06029999999999999</v>
      </c>
      <c r="K187" s="246">
        <f t="shared" si="70"/>
        <v>0.1388</v>
      </c>
      <c r="L187" s="246">
        <f t="shared" si="70"/>
        <v>0.1331</v>
      </c>
      <c r="M187" s="246">
        <f t="shared" si="70"/>
        <v>0.1189</v>
      </c>
      <c r="N187" s="246">
        <f t="shared" si="70"/>
        <v>0.0668</v>
      </c>
      <c r="O187" s="246">
        <f t="shared" si="70"/>
        <v>0.026600000000000006</v>
      </c>
      <c r="P187" s="246">
        <f t="shared" si="70"/>
        <v>0.0049999999999999975</v>
      </c>
      <c r="Q187" s="246">
        <f t="shared" si="70"/>
        <v>0.0046</v>
      </c>
      <c r="R187" s="246">
        <f t="shared" si="70"/>
        <v>0.008199999999999999</v>
      </c>
      <c r="S187" s="246">
        <f t="shared" si="70"/>
        <v>0.008199999999999999</v>
      </c>
      <c r="T187" s="246">
        <f t="shared" si="70"/>
        <v>0.007999999999999997</v>
      </c>
      <c r="U187" s="246">
        <f t="shared" si="70"/>
        <v>0.026199999999999998</v>
      </c>
      <c r="V187" s="246">
        <f t="shared" si="70"/>
        <v>0.0201</v>
      </c>
      <c r="W187" s="246">
        <f t="shared" si="70"/>
      </c>
      <c r="X187" s="246">
        <f t="shared" si="70"/>
      </c>
      <c r="Y187" s="246">
        <f t="shared" si="70"/>
      </c>
      <c r="Z187" s="246">
        <f t="shared" si="70"/>
      </c>
      <c r="AA187" s="246">
        <f t="shared" si="70"/>
      </c>
      <c r="AB187" s="246">
        <f t="shared" si="70"/>
      </c>
      <c r="AC187" s="246">
        <f t="shared" si="70"/>
      </c>
      <c r="AD187" s="246">
        <f t="shared" si="70"/>
      </c>
      <c r="AE187" s="246">
        <f t="shared" si="70"/>
      </c>
      <c r="AF187" s="246">
        <f t="shared" si="70"/>
      </c>
      <c r="AG187" s="246">
        <f t="shared" si="70"/>
      </c>
      <c r="AH187" s="246">
        <f t="shared" si="70"/>
      </c>
      <c r="AI187" s="246">
        <f t="shared" si="70"/>
      </c>
      <c r="AJ187" s="246">
        <f t="shared" si="70"/>
      </c>
      <c r="AK187" s="246">
        <f t="shared" si="70"/>
      </c>
      <c r="AL187" s="247">
        <f t="shared" si="70"/>
      </c>
    </row>
    <row r="188" spans="4:38" ht="14.25" hidden="1" outlineLevel="2">
      <c r="D188" s="248" t="s">
        <v>406</v>
      </c>
      <c r="E188" s="306" t="s">
        <v>31</v>
      </c>
      <c r="F188" s="307" t="s">
        <v>31</v>
      </c>
      <c r="G188" s="307" t="s">
        <v>31</v>
      </c>
      <c r="H188" s="308" t="s">
        <v>31</v>
      </c>
      <c r="I188" s="249">
        <f aca="true" t="shared" si="71" ref="I188:AL188">+IF(I10=0,"",I62-I57)</f>
        <v>0.0288</v>
      </c>
      <c r="J188" s="250">
        <f t="shared" si="71"/>
        <v>0.06029999999999999</v>
      </c>
      <c r="K188" s="250">
        <f t="shared" si="71"/>
        <v>0.1388</v>
      </c>
      <c r="L188" s="250">
        <f t="shared" si="71"/>
        <v>0.1331</v>
      </c>
      <c r="M188" s="250">
        <f t="shared" si="71"/>
        <v>0.1189</v>
      </c>
      <c r="N188" s="250">
        <f t="shared" si="71"/>
        <v>0.0668</v>
      </c>
      <c r="O188" s="250">
        <f t="shared" si="71"/>
        <v>0.026600000000000006</v>
      </c>
      <c r="P188" s="250">
        <f t="shared" si="71"/>
        <v>0.0049999999999999975</v>
      </c>
      <c r="Q188" s="250">
        <f t="shared" si="71"/>
        <v>0.0046</v>
      </c>
      <c r="R188" s="250">
        <f t="shared" si="71"/>
        <v>0.008199999999999999</v>
      </c>
      <c r="S188" s="250">
        <f t="shared" si="71"/>
        <v>0.008199999999999999</v>
      </c>
      <c r="T188" s="250">
        <f t="shared" si="71"/>
        <v>0.007999999999999997</v>
      </c>
      <c r="U188" s="250">
        <f t="shared" si="71"/>
        <v>0.026199999999999998</v>
      </c>
      <c r="V188" s="250">
        <f t="shared" si="71"/>
        <v>0.0201</v>
      </c>
      <c r="W188" s="250">
        <f t="shared" si="71"/>
      </c>
      <c r="X188" s="250">
        <f t="shared" si="71"/>
      </c>
      <c r="Y188" s="250">
        <f t="shared" si="71"/>
      </c>
      <c r="Z188" s="250">
        <f t="shared" si="71"/>
      </c>
      <c r="AA188" s="250">
        <f t="shared" si="71"/>
      </c>
      <c r="AB188" s="250">
        <f t="shared" si="71"/>
      </c>
      <c r="AC188" s="250">
        <f t="shared" si="71"/>
      </c>
      <c r="AD188" s="250">
        <f t="shared" si="71"/>
      </c>
      <c r="AE188" s="250">
        <f t="shared" si="71"/>
      </c>
      <c r="AF188" s="250">
        <f t="shared" si="71"/>
      </c>
      <c r="AG188" s="250">
        <f t="shared" si="71"/>
      </c>
      <c r="AH188" s="250">
        <f t="shared" si="71"/>
      </c>
      <c r="AI188" s="250">
        <f t="shared" si="71"/>
      </c>
      <c r="AJ188" s="250">
        <f t="shared" si="71"/>
      </c>
      <c r="AK188" s="250">
        <f t="shared" si="71"/>
      </c>
      <c r="AL188" s="251">
        <f t="shared" si="71"/>
      </c>
    </row>
    <row r="189" spans="4:38" ht="14.25" hidden="1" outlineLevel="1">
      <c r="D189" s="260" t="s">
        <v>414</v>
      </c>
      <c r="E189" s="79"/>
      <c r="F189" s="79"/>
      <c r="G189" s="79"/>
      <c r="H189" s="7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4:38" ht="14.25" hidden="1" outlineLevel="2">
      <c r="D190" s="26">
        <v>0.05</v>
      </c>
      <c r="E190" s="32" t="str">
        <f>+"zmiana większa niż +/- "&amp;TEXT(D190*100,"0,0")&amp;"%"</f>
        <v>zmiana większa niż +/- 5,0%</v>
      </c>
      <c r="F190" s="81"/>
      <c r="G190" s="81"/>
      <c r="H190" s="8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4:38" ht="14.25" hidden="1" outlineLevel="2">
      <c r="D191" s="27">
        <v>0.1</v>
      </c>
      <c r="E191" s="32" t="str">
        <f>+"zmiana większa niż +/- "&amp;TEXT(D191*100,"0,0")&amp;"%"</f>
        <v>zmiana większa niż +/- 10,0%</v>
      </c>
      <c r="F191" s="81"/>
      <c r="G191" s="81"/>
      <c r="H191" s="8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4:38" ht="24" hidden="1" outlineLevel="2">
      <c r="D192" s="28">
        <v>0.2</v>
      </c>
      <c r="E192" s="32" t="str">
        <f>+"zmiana większa niż +/- "&amp;TEXT(D192*100,"0,0")&amp;"%"</f>
        <v>zmiana większa niż +/- 20,0%</v>
      </c>
      <c r="F192" s="81"/>
      <c r="G192" s="340" t="s">
        <v>451</v>
      </c>
      <c r="H192" s="340" t="s">
        <v>450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2:39" ht="14.25" hidden="1" outlineLevel="2">
      <c r="B193" s="229"/>
      <c r="C193" s="229"/>
      <c r="D193" s="162" t="s">
        <v>26</v>
      </c>
      <c r="E193" s="309" t="s">
        <v>402</v>
      </c>
      <c r="F193" s="163">
        <f aca="true" t="shared" si="72" ref="F193:AL193">+IF(F10=0,0,IF(E219&lt;&gt;0,F219/E219-1,0))</f>
        <v>-0.015406354879618722</v>
      </c>
      <c r="G193" s="163">
        <f t="shared" si="72"/>
        <v>0.10482156728528791</v>
      </c>
      <c r="H193" s="164">
        <f t="shared" si="72"/>
        <v>0.01366195798782699</v>
      </c>
      <c r="I193" s="230">
        <f t="shared" si="72"/>
        <v>0.17642268868379674</v>
      </c>
      <c r="J193" s="231">
        <f t="shared" si="72"/>
        <v>-0.09319544659618295</v>
      </c>
      <c r="K193" s="231">
        <f t="shared" si="72"/>
        <v>-0.053536342724220254</v>
      </c>
      <c r="L193" s="231">
        <f t="shared" si="72"/>
        <v>-0.057506669827392165</v>
      </c>
      <c r="M193" s="231">
        <f t="shared" si="72"/>
        <v>-0.05642823154107002</v>
      </c>
      <c r="N193" s="231">
        <f t="shared" si="72"/>
        <v>0.010910274968994438</v>
      </c>
      <c r="O193" s="231">
        <f t="shared" si="72"/>
        <v>0.005932530550467829</v>
      </c>
      <c r="P193" s="231">
        <f t="shared" si="72"/>
        <v>0.011275438042331443</v>
      </c>
      <c r="Q193" s="231">
        <f t="shared" si="72"/>
        <v>0.011165868486515906</v>
      </c>
      <c r="R193" s="231">
        <f t="shared" si="72"/>
        <v>0.00694110381307822</v>
      </c>
      <c r="S193" s="231">
        <f t="shared" si="72"/>
        <v>0.011259912087500767</v>
      </c>
      <c r="T193" s="231">
        <f t="shared" si="72"/>
        <v>0.01113453816660992</v>
      </c>
      <c r="U193" s="231">
        <f t="shared" si="72"/>
        <v>0.010418951083243533</v>
      </c>
      <c r="V193" s="231">
        <f t="shared" si="72"/>
        <v>0.011279043537107958</v>
      </c>
      <c r="W193" s="231">
        <f t="shared" si="72"/>
        <v>0</v>
      </c>
      <c r="X193" s="231">
        <f t="shared" si="72"/>
        <v>0</v>
      </c>
      <c r="Y193" s="231">
        <f t="shared" si="72"/>
        <v>0</v>
      </c>
      <c r="Z193" s="231">
        <f t="shared" si="72"/>
        <v>0</v>
      </c>
      <c r="AA193" s="231">
        <f t="shared" si="72"/>
        <v>0</v>
      </c>
      <c r="AB193" s="231">
        <f t="shared" si="72"/>
        <v>0</v>
      </c>
      <c r="AC193" s="231">
        <f t="shared" si="72"/>
        <v>0</v>
      </c>
      <c r="AD193" s="231">
        <f t="shared" si="72"/>
        <v>0</v>
      </c>
      <c r="AE193" s="231">
        <f t="shared" si="72"/>
        <v>0</v>
      </c>
      <c r="AF193" s="231">
        <f t="shared" si="72"/>
        <v>0</v>
      </c>
      <c r="AG193" s="231">
        <f t="shared" si="72"/>
        <v>0</v>
      </c>
      <c r="AH193" s="231">
        <f t="shared" si="72"/>
        <v>0</v>
      </c>
      <c r="AI193" s="231">
        <f t="shared" si="72"/>
        <v>0</v>
      </c>
      <c r="AJ193" s="231">
        <f t="shared" si="72"/>
        <v>0</v>
      </c>
      <c r="AK193" s="231">
        <f t="shared" si="72"/>
        <v>0</v>
      </c>
      <c r="AL193" s="232">
        <f t="shared" si="72"/>
        <v>0</v>
      </c>
      <c r="AM193" s="233"/>
    </row>
    <row r="194" spans="2:39" ht="15" hidden="1" outlineLevel="2">
      <c r="B194" s="161"/>
      <c r="C194" s="161"/>
      <c r="D194" s="165" t="s">
        <v>385</v>
      </c>
      <c r="E194" s="310" t="s">
        <v>402</v>
      </c>
      <c r="F194" s="204">
        <f aca="true" t="shared" si="73" ref="F194:AL194">+IF(F10=0,0,IF(E220&lt;&gt;0,F220/E220-1,0))</f>
        <v>0.05999879469743741</v>
      </c>
      <c r="G194" s="204">
        <f t="shared" si="73"/>
        <v>0.14795933333436073</v>
      </c>
      <c r="H194" s="205">
        <f t="shared" si="73"/>
        <v>0.01370870288243653</v>
      </c>
      <c r="I194" s="166">
        <f t="shared" si="73"/>
        <v>0.18331371734114255</v>
      </c>
      <c r="J194" s="167">
        <f t="shared" si="73"/>
        <v>-0.0906426580044043</v>
      </c>
      <c r="K194" s="167">
        <f t="shared" si="73"/>
        <v>-0.04833829474582785</v>
      </c>
      <c r="L194" s="167">
        <f t="shared" si="73"/>
        <v>-0.05606602320341825</v>
      </c>
      <c r="M194" s="167">
        <f t="shared" si="73"/>
        <v>-0.05642823154107002</v>
      </c>
      <c r="N194" s="167">
        <f t="shared" si="73"/>
        <v>0.010910274968994438</v>
      </c>
      <c r="O194" s="167">
        <f t="shared" si="73"/>
        <v>0.005932530550467829</v>
      </c>
      <c r="P194" s="167">
        <f t="shared" si="73"/>
        <v>0.011275438042331443</v>
      </c>
      <c r="Q194" s="167">
        <f t="shared" si="73"/>
        <v>0.011165868486515906</v>
      </c>
      <c r="R194" s="167">
        <f t="shared" si="73"/>
        <v>0.00694110381307822</v>
      </c>
      <c r="S194" s="167">
        <f t="shared" si="73"/>
        <v>0.011259912087500767</v>
      </c>
      <c r="T194" s="167">
        <f t="shared" si="73"/>
        <v>0.01113453816660992</v>
      </c>
      <c r="U194" s="167">
        <f t="shared" si="73"/>
        <v>0.010418951083243533</v>
      </c>
      <c r="V194" s="167">
        <f t="shared" si="73"/>
        <v>0.011279043537107958</v>
      </c>
      <c r="W194" s="167">
        <f t="shared" si="73"/>
        <v>0</v>
      </c>
      <c r="X194" s="167">
        <f t="shared" si="73"/>
        <v>0</v>
      </c>
      <c r="Y194" s="167">
        <f t="shared" si="73"/>
        <v>0</v>
      </c>
      <c r="Z194" s="167">
        <f t="shared" si="73"/>
        <v>0</v>
      </c>
      <c r="AA194" s="167">
        <f t="shared" si="73"/>
        <v>0</v>
      </c>
      <c r="AB194" s="167">
        <f t="shared" si="73"/>
        <v>0</v>
      </c>
      <c r="AC194" s="167">
        <f t="shared" si="73"/>
        <v>0</v>
      </c>
      <c r="AD194" s="167">
        <f t="shared" si="73"/>
        <v>0</v>
      </c>
      <c r="AE194" s="167">
        <f t="shared" si="73"/>
        <v>0</v>
      </c>
      <c r="AF194" s="167">
        <f t="shared" si="73"/>
        <v>0</v>
      </c>
      <c r="AG194" s="167">
        <f t="shared" si="73"/>
        <v>0</v>
      </c>
      <c r="AH194" s="167">
        <f t="shared" si="73"/>
        <v>0</v>
      </c>
      <c r="AI194" s="167">
        <f t="shared" si="73"/>
        <v>0</v>
      </c>
      <c r="AJ194" s="167">
        <f t="shared" si="73"/>
        <v>0</v>
      </c>
      <c r="AK194" s="167">
        <f t="shared" si="73"/>
        <v>0</v>
      </c>
      <c r="AL194" s="168">
        <f t="shared" si="73"/>
        <v>0</v>
      </c>
      <c r="AM194" s="147"/>
    </row>
    <row r="195" spans="2:39" ht="15" hidden="1" outlineLevel="2">
      <c r="B195" s="161"/>
      <c r="C195" s="161"/>
      <c r="D195" s="169" t="s">
        <v>386</v>
      </c>
      <c r="E195" s="311" t="s">
        <v>402</v>
      </c>
      <c r="F195" s="206">
        <f aca="true" t="shared" si="74" ref="F195:AL195">+IF(F10=0,0,IF(E221&lt;&gt;0,F221/E221-1,0))</f>
        <v>0.03770470719963592</v>
      </c>
      <c r="G195" s="206">
        <f t="shared" si="74"/>
        <v>0.008872359788926198</v>
      </c>
      <c r="H195" s="207">
        <f t="shared" si="74"/>
        <v>0.020647664218609973</v>
      </c>
      <c r="I195" s="166">
        <f t="shared" si="74"/>
        <v>0.07081112645354537</v>
      </c>
      <c r="J195" s="167">
        <f t="shared" si="74"/>
        <v>-0.07177956291205856</v>
      </c>
      <c r="K195" s="167">
        <f t="shared" si="74"/>
        <v>0.02411059725691289</v>
      </c>
      <c r="L195" s="167">
        <f t="shared" si="74"/>
        <v>0.01200098327614385</v>
      </c>
      <c r="M195" s="167">
        <f t="shared" si="74"/>
        <v>0.011830705171235634</v>
      </c>
      <c r="N195" s="167">
        <f t="shared" si="74"/>
        <v>0.011135830555888182</v>
      </c>
      <c r="O195" s="167">
        <f t="shared" si="74"/>
        <v>0.01221226132433828</v>
      </c>
      <c r="P195" s="167">
        <f t="shared" si="74"/>
        <v>0.011434592982134895</v>
      </c>
      <c r="Q195" s="167">
        <f t="shared" si="74"/>
        <v>0.011321695018355227</v>
      </c>
      <c r="R195" s="167">
        <f t="shared" si="74"/>
        <v>0.007036886741874637</v>
      </c>
      <c r="S195" s="167">
        <f t="shared" si="74"/>
        <v>0.011414206142819294</v>
      </c>
      <c r="T195" s="167">
        <f t="shared" si="74"/>
        <v>0.011285392348154843</v>
      </c>
      <c r="U195" s="167">
        <f t="shared" si="74"/>
        <v>0.010558535009345338</v>
      </c>
      <c r="V195" s="167">
        <f t="shared" si="74"/>
        <v>0.011428571428571344</v>
      </c>
      <c r="W195" s="167">
        <f t="shared" si="74"/>
        <v>0</v>
      </c>
      <c r="X195" s="167">
        <f t="shared" si="74"/>
        <v>0</v>
      </c>
      <c r="Y195" s="167">
        <f t="shared" si="74"/>
        <v>0</v>
      </c>
      <c r="Z195" s="167">
        <f t="shared" si="74"/>
        <v>0</v>
      </c>
      <c r="AA195" s="167">
        <f t="shared" si="74"/>
        <v>0</v>
      </c>
      <c r="AB195" s="167">
        <f t="shared" si="74"/>
        <v>0</v>
      </c>
      <c r="AC195" s="167">
        <f t="shared" si="74"/>
        <v>0</v>
      </c>
      <c r="AD195" s="167">
        <f t="shared" si="74"/>
        <v>0</v>
      </c>
      <c r="AE195" s="167">
        <f t="shared" si="74"/>
        <v>0</v>
      </c>
      <c r="AF195" s="167">
        <f t="shared" si="74"/>
        <v>0</v>
      </c>
      <c r="AG195" s="167">
        <f t="shared" si="74"/>
        <v>0</v>
      </c>
      <c r="AH195" s="167">
        <f t="shared" si="74"/>
        <v>0</v>
      </c>
      <c r="AI195" s="167">
        <f t="shared" si="74"/>
        <v>0</v>
      </c>
      <c r="AJ195" s="167">
        <f t="shared" si="74"/>
        <v>0</v>
      </c>
      <c r="AK195" s="167">
        <f t="shared" si="74"/>
        <v>0</v>
      </c>
      <c r="AL195" s="168">
        <f t="shared" si="74"/>
        <v>0</v>
      </c>
      <c r="AM195" s="147"/>
    </row>
    <row r="196" spans="2:39" ht="15" hidden="1" outlineLevel="2">
      <c r="B196" s="161"/>
      <c r="C196" s="161"/>
      <c r="D196" s="169" t="s">
        <v>387</v>
      </c>
      <c r="E196" s="311" t="s">
        <v>402</v>
      </c>
      <c r="F196" s="206">
        <f aca="true" t="shared" si="75" ref="F196:AL196">+IF(F10=0,0,IF(E222&lt;&gt;0,F222/E222-1,0))</f>
        <v>2.203464398497845</v>
      </c>
      <c r="G196" s="206">
        <f t="shared" si="75"/>
        <v>4.479746991949252</v>
      </c>
      <c r="H196" s="207">
        <f t="shared" si="75"/>
        <v>-0.02607918512830898</v>
      </c>
      <c r="I196" s="166">
        <f t="shared" si="75"/>
        <v>0.8593517693696167</v>
      </c>
      <c r="J196" s="167">
        <f t="shared" si="75"/>
        <v>-0.15592156668612556</v>
      </c>
      <c r="K196" s="167">
        <f t="shared" si="75"/>
        <v>-0.32405304553367553</v>
      </c>
      <c r="L196" s="167">
        <f t="shared" si="75"/>
        <v>-0.44852941176470584</v>
      </c>
      <c r="M196" s="167">
        <f t="shared" si="75"/>
        <v>-0.7786666666666666</v>
      </c>
      <c r="N196" s="167">
        <f t="shared" si="75"/>
        <v>0</v>
      </c>
      <c r="O196" s="167">
        <f t="shared" si="75"/>
        <v>-0.3012048192771084</v>
      </c>
      <c r="P196" s="167">
        <f t="shared" si="75"/>
        <v>0</v>
      </c>
      <c r="Q196" s="167">
        <f t="shared" si="75"/>
        <v>0</v>
      </c>
      <c r="R196" s="167">
        <f t="shared" si="75"/>
        <v>0</v>
      </c>
      <c r="S196" s="167">
        <f t="shared" si="75"/>
        <v>0</v>
      </c>
      <c r="T196" s="167">
        <f t="shared" si="75"/>
        <v>0</v>
      </c>
      <c r="U196" s="167">
        <f t="shared" si="75"/>
        <v>0</v>
      </c>
      <c r="V196" s="167">
        <f t="shared" si="75"/>
        <v>0</v>
      </c>
      <c r="W196" s="167">
        <f t="shared" si="75"/>
        <v>0</v>
      </c>
      <c r="X196" s="167">
        <f t="shared" si="75"/>
        <v>0</v>
      </c>
      <c r="Y196" s="167">
        <f t="shared" si="75"/>
        <v>0</v>
      </c>
      <c r="Z196" s="167">
        <f t="shared" si="75"/>
        <v>0</v>
      </c>
      <c r="AA196" s="167">
        <f t="shared" si="75"/>
        <v>0</v>
      </c>
      <c r="AB196" s="167">
        <f t="shared" si="75"/>
        <v>0</v>
      </c>
      <c r="AC196" s="167">
        <f t="shared" si="75"/>
        <v>0</v>
      </c>
      <c r="AD196" s="167">
        <f t="shared" si="75"/>
        <v>0</v>
      </c>
      <c r="AE196" s="167">
        <f t="shared" si="75"/>
        <v>0</v>
      </c>
      <c r="AF196" s="167">
        <f t="shared" si="75"/>
        <v>0</v>
      </c>
      <c r="AG196" s="167">
        <f t="shared" si="75"/>
        <v>0</v>
      </c>
      <c r="AH196" s="167">
        <f t="shared" si="75"/>
        <v>0</v>
      </c>
      <c r="AI196" s="167">
        <f t="shared" si="75"/>
        <v>0</v>
      </c>
      <c r="AJ196" s="167">
        <f t="shared" si="75"/>
        <v>0</v>
      </c>
      <c r="AK196" s="167">
        <f t="shared" si="75"/>
        <v>0</v>
      </c>
      <c r="AL196" s="168">
        <f t="shared" si="75"/>
        <v>0</v>
      </c>
      <c r="AM196" s="147"/>
    </row>
    <row r="197" spans="2:39" ht="24" hidden="1" outlineLevel="2">
      <c r="B197" s="161"/>
      <c r="C197" s="161"/>
      <c r="D197" s="169" t="s">
        <v>388</v>
      </c>
      <c r="E197" s="311" t="s">
        <v>402</v>
      </c>
      <c r="F197" s="206">
        <f aca="true" t="shared" si="76" ref="F197:AL197">+IF(F10=0,0,IF(E223&lt;&gt;0,F223/E223-1,0))</f>
        <v>-0.2670378271023741</v>
      </c>
      <c r="G197" s="206">
        <f t="shared" si="76"/>
        <v>12.438415364640504</v>
      </c>
      <c r="H197" s="207">
        <f t="shared" si="76"/>
        <v>0.18864084014002325</v>
      </c>
      <c r="I197" s="166">
        <f t="shared" si="76"/>
        <v>1.385614822220294</v>
      </c>
      <c r="J197" s="167">
        <f t="shared" si="76"/>
        <v>-1</v>
      </c>
      <c r="K197" s="167">
        <f t="shared" si="76"/>
        <v>0</v>
      </c>
      <c r="L197" s="167">
        <f t="shared" si="76"/>
        <v>0</v>
      </c>
      <c r="M197" s="167">
        <f t="shared" si="76"/>
        <v>0</v>
      </c>
      <c r="N197" s="167">
        <f t="shared" si="76"/>
        <v>0</v>
      </c>
      <c r="O197" s="167">
        <f t="shared" si="76"/>
        <v>0</v>
      </c>
      <c r="P197" s="167">
        <f t="shared" si="76"/>
        <v>0</v>
      </c>
      <c r="Q197" s="167">
        <f t="shared" si="76"/>
        <v>0</v>
      </c>
      <c r="R197" s="167">
        <f t="shared" si="76"/>
        <v>0</v>
      </c>
      <c r="S197" s="167">
        <f t="shared" si="76"/>
        <v>0</v>
      </c>
      <c r="T197" s="167">
        <f t="shared" si="76"/>
        <v>0</v>
      </c>
      <c r="U197" s="167">
        <f t="shared" si="76"/>
        <v>0</v>
      </c>
      <c r="V197" s="167">
        <f t="shared" si="76"/>
        <v>0</v>
      </c>
      <c r="W197" s="167">
        <f t="shared" si="76"/>
        <v>0</v>
      </c>
      <c r="X197" s="167">
        <f t="shared" si="76"/>
        <v>0</v>
      </c>
      <c r="Y197" s="167">
        <f t="shared" si="76"/>
        <v>0</v>
      </c>
      <c r="Z197" s="167">
        <f t="shared" si="76"/>
        <v>0</v>
      </c>
      <c r="AA197" s="167">
        <f t="shared" si="76"/>
        <v>0</v>
      </c>
      <c r="AB197" s="167">
        <f t="shared" si="76"/>
        <v>0</v>
      </c>
      <c r="AC197" s="167">
        <f t="shared" si="76"/>
        <v>0</v>
      </c>
      <c r="AD197" s="167">
        <f t="shared" si="76"/>
        <v>0</v>
      </c>
      <c r="AE197" s="167">
        <f t="shared" si="76"/>
        <v>0</v>
      </c>
      <c r="AF197" s="167">
        <f t="shared" si="76"/>
        <v>0</v>
      </c>
      <c r="AG197" s="167">
        <f t="shared" si="76"/>
        <v>0</v>
      </c>
      <c r="AH197" s="167">
        <f t="shared" si="76"/>
        <v>0</v>
      </c>
      <c r="AI197" s="167">
        <f t="shared" si="76"/>
        <v>0</v>
      </c>
      <c r="AJ197" s="167">
        <f t="shared" si="76"/>
        <v>0</v>
      </c>
      <c r="AK197" s="167">
        <f t="shared" si="76"/>
        <v>0</v>
      </c>
      <c r="AL197" s="168">
        <f t="shared" si="76"/>
        <v>0</v>
      </c>
      <c r="AM197" s="147"/>
    </row>
    <row r="198" spans="2:39" ht="15" hidden="1" outlineLevel="2">
      <c r="B198" s="161"/>
      <c r="C198" s="161"/>
      <c r="D198" s="170" t="s">
        <v>35</v>
      </c>
      <c r="E198" s="312" t="s">
        <v>402</v>
      </c>
      <c r="F198" s="208">
        <f aca="true" t="shared" si="77" ref="F198:AL198">+IF(F10=0,0,IF(E224&lt;&gt;0,F224/E224-1,0))</f>
        <v>3.2129203140849834</v>
      </c>
      <c r="G198" s="208">
        <f t="shared" si="77"/>
        <v>3.913975795311557</v>
      </c>
      <c r="H198" s="209">
        <f t="shared" si="77"/>
        <v>-0.06782260462517342</v>
      </c>
      <c r="I198" s="171">
        <f t="shared" si="77"/>
        <v>0.7288938541482428</v>
      </c>
      <c r="J198" s="172">
        <f t="shared" si="77"/>
        <v>0.13280207787785492</v>
      </c>
      <c r="K198" s="172">
        <f t="shared" si="77"/>
        <v>-0.32405304553367553</v>
      </c>
      <c r="L198" s="172">
        <f t="shared" si="77"/>
        <v>-0.44852941176470584</v>
      </c>
      <c r="M198" s="172">
        <f t="shared" si="77"/>
        <v>-0.7786666666666666</v>
      </c>
      <c r="N198" s="172">
        <f t="shared" si="77"/>
        <v>0</v>
      </c>
      <c r="O198" s="172">
        <f t="shared" si="77"/>
        <v>-0.3012048192771084</v>
      </c>
      <c r="P198" s="172">
        <f t="shared" si="77"/>
        <v>0</v>
      </c>
      <c r="Q198" s="172">
        <f t="shared" si="77"/>
        <v>0</v>
      </c>
      <c r="R198" s="172">
        <f t="shared" si="77"/>
        <v>0</v>
      </c>
      <c r="S198" s="172">
        <f t="shared" si="77"/>
        <v>0</v>
      </c>
      <c r="T198" s="172">
        <f t="shared" si="77"/>
        <v>0</v>
      </c>
      <c r="U198" s="172">
        <f t="shared" si="77"/>
        <v>0</v>
      </c>
      <c r="V198" s="172">
        <f t="shared" si="77"/>
        <v>0</v>
      </c>
      <c r="W198" s="172">
        <f t="shared" si="77"/>
        <v>0</v>
      </c>
      <c r="X198" s="172">
        <f t="shared" si="77"/>
        <v>0</v>
      </c>
      <c r="Y198" s="172">
        <f t="shared" si="77"/>
        <v>0</v>
      </c>
      <c r="Z198" s="172">
        <f t="shared" si="77"/>
        <v>0</v>
      </c>
      <c r="AA198" s="172">
        <f t="shared" si="77"/>
        <v>0</v>
      </c>
      <c r="AB198" s="172">
        <f t="shared" si="77"/>
        <v>0</v>
      </c>
      <c r="AC198" s="172">
        <f t="shared" si="77"/>
        <v>0</v>
      </c>
      <c r="AD198" s="172">
        <f t="shared" si="77"/>
        <v>0</v>
      </c>
      <c r="AE198" s="172">
        <f t="shared" si="77"/>
        <v>0</v>
      </c>
      <c r="AF198" s="172">
        <f t="shared" si="77"/>
        <v>0</v>
      </c>
      <c r="AG198" s="172">
        <f t="shared" si="77"/>
        <v>0</v>
      </c>
      <c r="AH198" s="172">
        <f t="shared" si="77"/>
        <v>0</v>
      </c>
      <c r="AI198" s="172">
        <f t="shared" si="77"/>
        <v>0</v>
      </c>
      <c r="AJ198" s="172">
        <f t="shared" si="77"/>
        <v>0</v>
      </c>
      <c r="AK198" s="172">
        <f t="shared" si="77"/>
        <v>0</v>
      </c>
      <c r="AL198" s="173">
        <f t="shared" si="77"/>
        <v>0</v>
      </c>
      <c r="AM198" s="147"/>
    </row>
    <row r="199" spans="2:39" ht="14.25" hidden="1" outlineLevel="2">
      <c r="B199" s="229"/>
      <c r="C199" s="229"/>
      <c r="D199" s="162" t="s">
        <v>21</v>
      </c>
      <c r="E199" s="309" t="s">
        <v>402</v>
      </c>
      <c r="F199" s="163">
        <f aca="true" t="shared" si="78" ref="F199:AL199">+IF(F10=0,0,IF(E225&lt;&gt;0,F225/E225-1,0))</f>
        <v>0.0694586527200367</v>
      </c>
      <c r="G199" s="163">
        <f t="shared" si="78"/>
        <v>0.24075128163899673</v>
      </c>
      <c r="H199" s="164">
        <f t="shared" si="78"/>
        <v>-0.06106272256613654</v>
      </c>
      <c r="I199" s="230">
        <f t="shared" si="78"/>
        <v>0.1054359604430175</v>
      </c>
      <c r="J199" s="231">
        <f t="shared" si="78"/>
        <v>-0.11383174891001457</v>
      </c>
      <c r="K199" s="231">
        <f t="shared" si="78"/>
        <v>-0.0364816966630247</v>
      </c>
      <c r="L199" s="231">
        <f t="shared" si="78"/>
        <v>-0.059111347946683046</v>
      </c>
      <c r="M199" s="231">
        <f t="shared" si="78"/>
        <v>-0.05810174003624713</v>
      </c>
      <c r="N199" s="231">
        <f t="shared" si="78"/>
        <v>0.011253803793359607</v>
      </c>
      <c r="O199" s="231">
        <f t="shared" si="78"/>
        <v>0.006117247735732745</v>
      </c>
      <c r="P199" s="231">
        <f t="shared" si="78"/>
        <v>0.011624379159814513</v>
      </c>
      <c r="Q199" s="231">
        <f t="shared" si="78"/>
        <v>0.011507472558830223</v>
      </c>
      <c r="R199" s="231">
        <f t="shared" si="78"/>
        <v>0.011349078905532606</v>
      </c>
      <c r="S199" s="231">
        <f t="shared" si="78"/>
        <v>0.011549888951926768</v>
      </c>
      <c r="T199" s="231">
        <f t="shared" si="78"/>
        <v>0.011418106713846798</v>
      </c>
      <c r="U199" s="231">
        <f t="shared" si="78"/>
        <v>0.030010975061361744</v>
      </c>
      <c r="V199" s="231">
        <f t="shared" si="78"/>
        <v>0.01134301270417426</v>
      </c>
      <c r="W199" s="231">
        <f t="shared" si="78"/>
        <v>0</v>
      </c>
      <c r="X199" s="231">
        <f t="shared" si="78"/>
        <v>0</v>
      </c>
      <c r="Y199" s="231">
        <f t="shared" si="78"/>
        <v>0</v>
      </c>
      <c r="Z199" s="231">
        <f t="shared" si="78"/>
        <v>0</v>
      </c>
      <c r="AA199" s="231">
        <f t="shared" si="78"/>
        <v>0</v>
      </c>
      <c r="AB199" s="231">
        <f t="shared" si="78"/>
        <v>0</v>
      </c>
      <c r="AC199" s="231">
        <f t="shared" si="78"/>
        <v>0</v>
      </c>
      <c r="AD199" s="231">
        <f t="shared" si="78"/>
        <v>0</v>
      </c>
      <c r="AE199" s="231">
        <f t="shared" si="78"/>
        <v>0</v>
      </c>
      <c r="AF199" s="231">
        <f t="shared" si="78"/>
        <v>0</v>
      </c>
      <c r="AG199" s="231">
        <f t="shared" si="78"/>
        <v>0</v>
      </c>
      <c r="AH199" s="231">
        <f t="shared" si="78"/>
        <v>0</v>
      </c>
      <c r="AI199" s="231">
        <f t="shared" si="78"/>
        <v>0</v>
      </c>
      <c r="AJ199" s="231">
        <f t="shared" si="78"/>
        <v>0</v>
      </c>
      <c r="AK199" s="231">
        <f t="shared" si="78"/>
        <v>0</v>
      </c>
      <c r="AL199" s="232">
        <f t="shared" si="78"/>
        <v>0</v>
      </c>
      <c r="AM199" s="233"/>
    </row>
    <row r="200" spans="2:39" ht="15" hidden="1" outlineLevel="2">
      <c r="B200" s="161"/>
      <c r="C200" s="161"/>
      <c r="D200" s="174" t="s">
        <v>384</v>
      </c>
      <c r="E200" s="311" t="s">
        <v>402</v>
      </c>
      <c r="F200" s="206">
        <f aca="true" t="shared" si="79" ref="F200:AL200">+IF(F10=0,0,IF(E226&lt;&gt;0,F226/E226-1,0))</f>
        <v>0.11126621387183566</v>
      </c>
      <c r="G200" s="206">
        <f t="shared" si="79"/>
        <v>0.29396212463509963</v>
      </c>
      <c r="H200" s="207">
        <f t="shared" si="79"/>
        <v>-0.06032940914006457</v>
      </c>
      <c r="I200" s="166">
        <f t="shared" si="79"/>
        <v>0.10733109872858138</v>
      </c>
      <c r="J200" s="167">
        <f t="shared" si="79"/>
        <v>-0.11142885743805764</v>
      </c>
      <c r="K200" s="167">
        <f t="shared" si="79"/>
        <v>-0.03091506280816725</v>
      </c>
      <c r="L200" s="167">
        <f t="shared" si="79"/>
        <v>-0.057632959433293274</v>
      </c>
      <c r="M200" s="167">
        <f t="shared" si="79"/>
        <v>-0.05810174003624713</v>
      </c>
      <c r="N200" s="167">
        <f t="shared" si="79"/>
        <v>0.011253803793359607</v>
      </c>
      <c r="O200" s="167">
        <f t="shared" si="79"/>
        <v>0.006117247735732745</v>
      </c>
      <c r="P200" s="167">
        <f t="shared" si="79"/>
        <v>0.011624379159814513</v>
      </c>
      <c r="Q200" s="167">
        <f t="shared" si="79"/>
        <v>0.011507472558830223</v>
      </c>
      <c r="R200" s="167">
        <f t="shared" si="79"/>
        <v>0.011349078905532606</v>
      </c>
      <c r="S200" s="167">
        <f t="shared" si="79"/>
        <v>0.011549888951926768</v>
      </c>
      <c r="T200" s="167">
        <f t="shared" si="79"/>
        <v>0.011418106713846798</v>
      </c>
      <c r="U200" s="167">
        <f t="shared" si="79"/>
        <v>0.030010975061361744</v>
      </c>
      <c r="V200" s="167">
        <f t="shared" si="79"/>
        <v>0.01134301270417426</v>
      </c>
      <c r="W200" s="167">
        <f t="shared" si="79"/>
        <v>0</v>
      </c>
      <c r="X200" s="167">
        <f t="shared" si="79"/>
        <v>0</v>
      </c>
      <c r="Y200" s="167">
        <f t="shared" si="79"/>
        <v>0</v>
      </c>
      <c r="Z200" s="167">
        <f t="shared" si="79"/>
        <v>0</v>
      </c>
      <c r="AA200" s="167">
        <f t="shared" si="79"/>
        <v>0</v>
      </c>
      <c r="AB200" s="167">
        <f t="shared" si="79"/>
        <v>0</v>
      </c>
      <c r="AC200" s="167">
        <f t="shared" si="79"/>
        <v>0</v>
      </c>
      <c r="AD200" s="167">
        <f t="shared" si="79"/>
        <v>0</v>
      </c>
      <c r="AE200" s="167">
        <f t="shared" si="79"/>
        <v>0</v>
      </c>
      <c r="AF200" s="167">
        <f t="shared" si="79"/>
        <v>0</v>
      </c>
      <c r="AG200" s="167">
        <f t="shared" si="79"/>
        <v>0</v>
      </c>
      <c r="AH200" s="167">
        <f t="shared" si="79"/>
        <v>0</v>
      </c>
      <c r="AI200" s="167">
        <f t="shared" si="79"/>
        <v>0</v>
      </c>
      <c r="AJ200" s="167">
        <f t="shared" si="79"/>
        <v>0</v>
      </c>
      <c r="AK200" s="167">
        <f t="shared" si="79"/>
        <v>0</v>
      </c>
      <c r="AL200" s="168">
        <f t="shared" si="79"/>
        <v>0</v>
      </c>
      <c r="AM200" s="147"/>
    </row>
    <row r="201" spans="2:39" ht="14.25" hidden="1" outlineLevel="2">
      <c r="B201" s="229"/>
      <c r="C201" s="229"/>
      <c r="D201" s="175" t="s">
        <v>36</v>
      </c>
      <c r="E201" s="313" t="s">
        <v>402</v>
      </c>
      <c r="F201" s="210">
        <f aca="true" t="shared" si="80" ref="F201:AL201">+IF(F10=0,0,IF(E227&lt;&gt;0,F227/E227-1,0))</f>
        <v>0.08736910778877349</v>
      </c>
      <c r="G201" s="210">
        <f t="shared" si="80"/>
        <v>0.012830667389047923</v>
      </c>
      <c r="H201" s="211">
        <f t="shared" si="80"/>
        <v>-0.06416179940610689</v>
      </c>
      <c r="I201" s="234">
        <f t="shared" si="80"/>
        <v>0.196169304137499</v>
      </c>
      <c r="J201" s="235">
        <f t="shared" si="80"/>
        <v>-0.0926443406286348</v>
      </c>
      <c r="K201" s="235">
        <f t="shared" si="80"/>
        <v>-0.00900341511262781</v>
      </c>
      <c r="L201" s="235">
        <f t="shared" si="80"/>
        <v>0.01180892482990803</v>
      </c>
      <c r="M201" s="235">
        <f t="shared" si="80"/>
        <v>0.012136852071515714</v>
      </c>
      <c r="N201" s="235">
        <f t="shared" si="80"/>
        <v>0.011420540483651376</v>
      </c>
      <c r="O201" s="235">
        <f t="shared" si="80"/>
        <v>0.012520966788606813</v>
      </c>
      <c r="P201" s="235">
        <f t="shared" si="80"/>
        <v>0.011720065899350818</v>
      </c>
      <c r="Q201" s="235">
        <f t="shared" si="80"/>
        <v>0.011601099659231284</v>
      </c>
      <c r="R201" s="235">
        <f t="shared" si="80"/>
        <v>0.011440358341626933</v>
      </c>
      <c r="S201" s="235">
        <f t="shared" si="80"/>
        <v>0.011641732755864886</v>
      </c>
      <c r="T201" s="235">
        <f t="shared" si="80"/>
        <v>0.01150785773840246</v>
      </c>
      <c r="U201" s="235">
        <f t="shared" si="80"/>
        <v>0.030244189890794138</v>
      </c>
      <c r="V201" s="235">
        <f t="shared" si="80"/>
        <v>0.011428571428571344</v>
      </c>
      <c r="W201" s="235">
        <f t="shared" si="80"/>
        <v>0</v>
      </c>
      <c r="X201" s="235">
        <f t="shared" si="80"/>
        <v>0</v>
      </c>
      <c r="Y201" s="235">
        <f t="shared" si="80"/>
        <v>0</v>
      </c>
      <c r="Z201" s="235">
        <f t="shared" si="80"/>
        <v>0</v>
      </c>
      <c r="AA201" s="235">
        <f t="shared" si="80"/>
        <v>0</v>
      </c>
      <c r="AB201" s="235">
        <f t="shared" si="80"/>
        <v>0</v>
      </c>
      <c r="AC201" s="235">
        <f t="shared" si="80"/>
        <v>0</v>
      </c>
      <c r="AD201" s="235">
        <f t="shared" si="80"/>
        <v>0</v>
      </c>
      <c r="AE201" s="235">
        <f t="shared" si="80"/>
        <v>0</v>
      </c>
      <c r="AF201" s="235">
        <f t="shared" si="80"/>
        <v>0</v>
      </c>
      <c r="AG201" s="235">
        <f t="shared" si="80"/>
        <v>0</v>
      </c>
      <c r="AH201" s="235">
        <f t="shared" si="80"/>
        <v>0</v>
      </c>
      <c r="AI201" s="235">
        <f t="shared" si="80"/>
        <v>0</v>
      </c>
      <c r="AJ201" s="235">
        <f t="shared" si="80"/>
        <v>0</v>
      </c>
      <c r="AK201" s="235">
        <f t="shared" si="80"/>
        <v>0</v>
      </c>
      <c r="AL201" s="236">
        <f t="shared" si="80"/>
        <v>0</v>
      </c>
      <c r="AM201" s="233"/>
    </row>
    <row r="202" spans="2:39" ht="15" hidden="1" outlineLevel="2">
      <c r="B202" s="161"/>
      <c r="C202" s="161"/>
      <c r="D202" s="169" t="s">
        <v>38</v>
      </c>
      <c r="E202" s="311" t="s">
        <v>402</v>
      </c>
      <c r="F202" s="206">
        <f aca="true" t="shared" si="81" ref="F202:AL202">+IF(F10=0,0,IF(E228&lt;&gt;0,F228/E228-1,0))</f>
        <v>0.08958033722130154</v>
      </c>
      <c r="G202" s="206">
        <f t="shared" si="81"/>
        <v>0.005420083472049919</v>
      </c>
      <c r="H202" s="207">
        <f t="shared" si="81"/>
        <v>-0.06301019165079325</v>
      </c>
      <c r="I202" s="166">
        <f t="shared" si="81"/>
        <v>0.19522368653075284</v>
      </c>
      <c r="J202" s="167">
        <f t="shared" si="81"/>
        <v>-0.09217565892731494</v>
      </c>
      <c r="K202" s="167">
        <f t="shared" si="81"/>
        <v>-0.002034894220993011</v>
      </c>
      <c r="L202" s="167">
        <f t="shared" si="81"/>
        <v>0.013673799068635528</v>
      </c>
      <c r="M202" s="167">
        <f t="shared" si="81"/>
        <v>0.012136852071515714</v>
      </c>
      <c r="N202" s="167">
        <f t="shared" si="81"/>
        <v>0.011420540483651376</v>
      </c>
      <c r="O202" s="167">
        <f t="shared" si="81"/>
        <v>0.012520966788606813</v>
      </c>
      <c r="P202" s="167">
        <f t="shared" si="81"/>
        <v>0.011720065899350818</v>
      </c>
      <c r="Q202" s="167">
        <f t="shared" si="81"/>
        <v>0.011601099659231284</v>
      </c>
      <c r="R202" s="167">
        <f t="shared" si="81"/>
        <v>0.011440358341626933</v>
      </c>
      <c r="S202" s="167">
        <f t="shared" si="81"/>
        <v>0.011641732755864886</v>
      </c>
      <c r="T202" s="167">
        <f t="shared" si="81"/>
        <v>0.01150785773840246</v>
      </c>
      <c r="U202" s="167">
        <f t="shared" si="81"/>
        <v>0.030244189890794138</v>
      </c>
      <c r="V202" s="167">
        <f t="shared" si="81"/>
        <v>0.011428571428571344</v>
      </c>
      <c r="W202" s="167">
        <f t="shared" si="81"/>
        <v>0</v>
      </c>
      <c r="X202" s="167">
        <f t="shared" si="81"/>
        <v>0</v>
      </c>
      <c r="Y202" s="167">
        <f t="shared" si="81"/>
        <v>0</v>
      </c>
      <c r="Z202" s="167">
        <f t="shared" si="81"/>
        <v>0</v>
      </c>
      <c r="AA202" s="167">
        <f t="shared" si="81"/>
        <v>0</v>
      </c>
      <c r="AB202" s="167">
        <f t="shared" si="81"/>
        <v>0</v>
      </c>
      <c r="AC202" s="167">
        <f t="shared" si="81"/>
        <v>0</v>
      </c>
      <c r="AD202" s="167">
        <f t="shared" si="81"/>
        <v>0</v>
      </c>
      <c r="AE202" s="167">
        <f t="shared" si="81"/>
        <v>0</v>
      </c>
      <c r="AF202" s="167">
        <f t="shared" si="81"/>
        <v>0</v>
      </c>
      <c r="AG202" s="167">
        <f t="shared" si="81"/>
        <v>0</v>
      </c>
      <c r="AH202" s="167">
        <f t="shared" si="81"/>
        <v>0</v>
      </c>
      <c r="AI202" s="167">
        <f t="shared" si="81"/>
        <v>0</v>
      </c>
      <c r="AJ202" s="167">
        <f t="shared" si="81"/>
        <v>0</v>
      </c>
      <c r="AK202" s="167">
        <f t="shared" si="81"/>
        <v>0</v>
      </c>
      <c r="AL202" s="168">
        <f t="shared" si="81"/>
        <v>0</v>
      </c>
      <c r="AM202" s="147"/>
    </row>
    <row r="203" spans="2:39" ht="15" hidden="1" outlineLevel="2">
      <c r="B203" s="161"/>
      <c r="C203" s="161"/>
      <c r="D203" s="169" t="s">
        <v>37</v>
      </c>
      <c r="E203" s="311" t="s">
        <v>402</v>
      </c>
      <c r="F203" s="206">
        <f aca="true" t="shared" si="82" ref="F203:AL203">+IF(F10=0,0,IF(E229&lt;&gt;0,F229/E229-1,0))</f>
        <v>0.06513297435095966</v>
      </c>
      <c r="G203" s="206">
        <f t="shared" si="82"/>
        <v>0.09362549170670409</v>
      </c>
      <c r="H203" s="207">
        <f t="shared" si="82"/>
        <v>-0.016623558433224606</v>
      </c>
      <c r="I203" s="166">
        <f t="shared" si="82"/>
        <v>0.08962475004941783</v>
      </c>
      <c r="J203" s="167">
        <f t="shared" si="82"/>
        <v>0.0017022107795452435</v>
      </c>
      <c r="K203" s="167">
        <f t="shared" si="82"/>
        <v>0.0032467532467532756</v>
      </c>
      <c r="L203" s="167">
        <f t="shared" si="82"/>
        <v>0.003236245954692629</v>
      </c>
      <c r="M203" s="167">
        <f t="shared" si="82"/>
        <v>0.006451612903225712</v>
      </c>
      <c r="N203" s="167">
        <f t="shared" si="82"/>
        <v>0.019230769230769162</v>
      </c>
      <c r="O203" s="167">
        <f t="shared" si="82"/>
        <v>0.018867924528301883</v>
      </c>
      <c r="P203" s="167">
        <f t="shared" si="82"/>
        <v>0.0185185185185186</v>
      </c>
      <c r="Q203" s="167">
        <f t="shared" si="82"/>
        <v>0.018181818181818077</v>
      </c>
      <c r="R203" s="167">
        <f t="shared" si="82"/>
        <v>0.017857142857142794</v>
      </c>
      <c r="S203" s="167">
        <f t="shared" si="82"/>
        <v>0.01754385964912286</v>
      </c>
      <c r="T203" s="167">
        <f t="shared" si="82"/>
        <v>0.01724137931034475</v>
      </c>
      <c r="U203" s="167">
        <f t="shared" si="82"/>
        <v>0.016949152542372836</v>
      </c>
      <c r="V203" s="167">
        <f t="shared" si="82"/>
        <v>0.016666666666666607</v>
      </c>
      <c r="W203" s="167">
        <f t="shared" si="82"/>
        <v>0</v>
      </c>
      <c r="X203" s="167">
        <f t="shared" si="82"/>
        <v>0</v>
      </c>
      <c r="Y203" s="167">
        <f t="shared" si="82"/>
        <v>0</v>
      </c>
      <c r="Z203" s="167">
        <f t="shared" si="82"/>
        <v>0</v>
      </c>
      <c r="AA203" s="167">
        <f t="shared" si="82"/>
        <v>0</v>
      </c>
      <c r="AB203" s="167">
        <f t="shared" si="82"/>
        <v>0</v>
      </c>
      <c r="AC203" s="167">
        <f t="shared" si="82"/>
        <v>0</v>
      </c>
      <c r="AD203" s="167">
        <f t="shared" si="82"/>
        <v>0</v>
      </c>
      <c r="AE203" s="167">
        <f t="shared" si="82"/>
        <v>0</v>
      </c>
      <c r="AF203" s="167">
        <f t="shared" si="82"/>
        <v>0</v>
      </c>
      <c r="AG203" s="167">
        <f t="shared" si="82"/>
        <v>0</v>
      </c>
      <c r="AH203" s="167">
        <f t="shared" si="82"/>
        <v>0</v>
      </c>
      <c r="AI203" s="167">
        <f t="shared" si="82"/>
        <v>0</v>
      </c>
      <c r="AJ203" s="167">
        <f t="shared" si="82"/>
        <v>0</v>
      </c>
      <c r="AK203" s="167">
        <f t="shared" si="82"/>
        <v>0</v>
      </c>
      <c r="AL203" s="168">
        <f t="shared" si="82"/>
        <v>0</v>
      </c>
      <c r="AM203" s="147"/>
    </row>
    <row r="204" spans="2:39" ht="24" hidden="1" outlineLevel="2">
      <c r="B204" s="161"/>
      <c r="C204" s="161"/>
      <c r="D204" s="170" t="s">
        <v>383</v>
      </c>
      <c r="E204" s="314" t="s">
        <v>402</v>
      </c>
      <c r="F204" s="212">
        <f aca="true" t="shared" si="83" ref="F204:AL204">+IF(F10=0,0,IF(E230&lt;&gt;0,F230/E230-1,0))</f>
        <v>0.2967990982235278</v>
      </c>
      <c r="G204" s="212">
        <f t="shared" si="83"/>
        <v>-0.07281464352547551</v>
      </c>
      <c r="H204" s="213">
        <f t="shared" si="83"/>
        <v>-0.10614372678589279</v>
      </c>
      <c r="I204" s="176">
        <f t="shared" si="83"/>
        <v>0.3422414357613399</v>
      </c>
      <c r="J204" s="177">
        <f t="shared" si="83"/>
        <v>-0.18871095061855336</v>
      </c>
      <c r="K204" s="177">
        <f t="shared" si="83"/>
        <v>-0.02159160966732221</v>
      </c>
      <c r="L204" s="177">
        <f t="shared" si="83"/>
        <v>0.0293818587883643</v>
      </c>
      <c r="M204" s="177">
        <f t="shared" si="83"/>
        <v>0.023529763160963446</v>
      </c>
      <c r="N204" s="177">
        <f t="shared" si="83"/>
        <v>0.00987747052828114</v>
      </c>
      <c r="O204" s="177">
        <f t="shared" si="83"/>
        <v>0.012622681433787974</v>
      </c>
      <c r="P204" s="177">
        <f t="shared" si="83"/>
        <v>0.010969566703239453</v>
      </c>
      <c r="Q204" s="177">
        <f t="shared" si="83"/>
        <v>0.010894791419860717</v>
      </c>
      <c r="R204" s="177">
        <f t="shared" si="83"/>
        <v>0.010772974257883261</v>
      </c>
      <c r="S204" s="177">
        <f t="shared" si="83"/>
        <v>0.01086252309822977</v>
      </c>
      <c r="T204" s="177">
        <f t="shared" si="83"/>
        <v>0.011519761641523463</v>
      </c>
      <c r="U204" s="177">
        <f t="shared" si="83"/>
        <v>0.053329810769439545</v>
      </c>
      <c r="V204" s="177">
        <f t="shared" si="83"/>
        <v>0.007351423076172647</v>
      </c>
      <c r="W204" s="177">
        <f t="shared" si="83"/>
        <v>0</v>
      </c>
      <c r="X204" s="177">
        <f t="shared" si="83"/>
        <v>0</v>
      </c>
      <c r="Y204" s="177">
        <f t="shared" si="83"/>
        <v>0</v>
      </c>
      <c r="Z204" s="177">
        <f t="shared" si="83"/>
        <v>0</v>
      </c>
      <c r="AA204" s="177">
        <f t="shared" si="83"/>
        <v>0</v>
      </c>
      <c r="AB204" s="177">
        <f t="shared" si="83"/>
        <v>0</v>
      </c>
      <c r="AC204" s="177">
        <f t="shared" si="83"/>
        <v>0</v>
      </c>
      <c r="AD204" s="177">
        <f t="shared" si="83"/>
        <v>0</v>
      </c>
      <c r="AE204" s="177">
        <f t="shared" si="83"/>
        <v>0</v>
      </c>
      <c r="AF204" s="177">
        <f t="shared" si="83"/>
        <v>0</v>
      </c>
      <c r="AG204" s="177">
        <f t="shared" si="83"/>
        <v>0</v>
      </c>
      <c r="AH204" s="177">
        <f t="shared" si="83"/>
        <v>0</v>
      </c>
      <c r="AI204" s="177">
        <f t="shared" si="83"/>
        <v>0</v>
      </c>
      <c r="AJ204" s="177">
        <f t="shared" si="83"/>
        <v>0</v>
      </c>
      <c r="AK204" s="177">
        <f t="shared" si="83"/>
        <v>0</v>
      </c>
      <c r="AL204" s="178">
        <f t="shared" si="83"/>
        <v>0</v>
      </c>
      <c r="AM204" s="147"/>
    </row>
    <row r="205" spans="2:39" ht="24" hidden="1" outlineLevel="1">
      <c r="B205" s="161"/>
      <c r="C205" s="161"/>
      <c r="D205" s="260" t="s">
        <v>415</v>
      </c>
      <c r="E205" s="179"/>
      <c r="F205" s="179"/>
      <c r="G205" s="339" t="s">
        <v>449</v>
      </c>
      <c r="H205" s="339" t="s">
        <v>448</v>
      </c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47"/>
    </row>
    <row r="206" spans="2:39" ht="14.25" hidden="1" outlineLevel="2">
      <c r="B206" s="229"/>
      <c r="C206" s="229"/>
      <c r="D206" s="162" t="s">
        <v>26</v>
      </c>
      <c r="E206" s="315" t="s">
        <v>402</v>
      </c>
      <c r="F206" s="216">
        <f aca="true" t="shared" si="84" ref="F206:F211">+IF(F$219=0,"",F219-E219)</f>
        <v>-1275265</v>
      </c>
      <c r="G206" s="216">
        <f aca="true" t="shared" si="85" ref="G206:G211">+IF(G$219=0,"",G219-F219)</f>
        <v>8542957</v>
      </c>
      <c r="H206" s="217">
        <f aca="true" t="shared" si="86" ref="H206:H211">+IF(H$219=0,"",H219-G219)</f>
        <v>1230163</v>
      </c>
      <c r="I206" s="237">
        <f aca="true" t="shared" si="87" ref="I206:AL206">+IF(I$219=0,"",I219-H219)</f>
        <v>16102648</v>
      </c>
      <c r="J206" s="238">
        <f t="shared" si="87"/>
        <v>-10006932</v>
      </c>
      <c r="K206" s="238">
        <f t="shared" si="87"/>
        <v>-5212771</v>
      </c>
      <c r="L206" s="238">
        <f t="shared" si="87"/>
        <v>-5299588</v>
      </c>
      <c r="M206" s="238">
        <f t="shared" si="87"/>
        <v>-4901157</v>
      </c>
      <c r="N206" s="238">
        <f t="shared" si="87"/>
        <v>894155</v>
      </c>
      <c r="O206" s="238">
        <f t="shared" si="87"/>
        <v>491507</v>
      </c>
      <c r="P206" s="238">
        <f t="shared" si="87"/>
        <v>939706</v>
      </c>
      <c r="Q206" s="238">
        <f t="shared" si="87"/>
        <v>941067</v>
      </c>
      <c r="R206" s="238">
        <f t="shared" si="87"/>
        <v>591533</v>
      </c>
      <c r="S206" s="238">
        <f t="shared" si="87"/>
        <v>966250</v>
      </c>
      <c r="T206" s="238">
        <f t="shared" si="87"/>
        <v>966250</v>
      </c>
      <c r="U206" s="238">
        <f t="shared" si="87"/>
        <v>914219</v>
      </c>
      <c r="V206" s="238">
        <f t="shared" si="87"/>
        <v>1000000</v>
      </c>
      <c r="W206" s="238">
        <f t="shared" si="87"/>
      </c>
      <c r="X206" s="238">
        <f t="shared" si="87"/>
      </c>
      <c r="Y206" s="238">
        <f t="shared" si="87"/>
      </c>
      <c r="Z206" s="238">
        <f t="shared" si="87"/>
      </c>
      <c r="AA206" s="238">
        <f t="shared" si="87"/>
      </c>
      <c r="AB206" s="238">
        <f t="shared" si="87"/>
      </c>
      <c r="AC206" s="238">
        <f t="shared" si="87"/>
      </c>
      <c r="AD206" s="238">
        <f t="shared" si="87"/>
      </c>
      <c r="AE206" s="238">
        <f t="shared" si="87"/>
      </c>
      <c r="AF206" s="238">
        <f t="shared" si="87"/>
      </c>
      <c r="AG206" s="238">
        <f t="shared" si="87"/>
      </c>
      <c r="AH206" s="238">
        <f t="shared" si="87"/>
      </c>
      <c r="AI206" s="238">
        <f t="shared" si="87"/>
      </c>
      <c r="AJ206" s="238">
        <f t="shared" si="87"/>
      </c>
      <c r="AK206" s="238">
        <f t="shared" si="87"/>
      </c>
      <c r="AL206" s="239">
        <f t="shared" si="87"/>
      </c>
      <c r="AM206" s="233"/>
    </row>
    <row r="207" spans="2:39" ht="15" hidden="1" outlineLevel="2">
      <c r="B207" s="161"/>
      <c r="C207" s="161"/>
      <c r="D207" s="165" t="s">
        <v>385</v>
      </c>
      <c r="E207" s="316" t="s">
        <v>402</v>
      </c>
      <c r="F207" s="221">
        <f t="shared" si="84"/>
        <v>4370599</v>
      </c>
      <c r="G207" s="221">
        <f t="shared" si="85"/>
        <v>11424736</v>
      </c>
      <c r="H207" s="222">
        <f t="shared" si="86"/>
        <v>1215141</v>
      </c>
      <c r="I207" s="184">
        <f aca="true" t="shared" si="88" ref="I207:AL207">+IF(I$219=0,"",I220-H220)</f>
        <v>16471701</v>
      </c>
      <c r="J207" s="185">
        <f t="shared" si="88"/>
        <v>-9637758</v>
      </c>
      <c r="K207" s="185">
        <f t="shared" si="88"/>
        <v>-4673791</v>
      </c>
      <c r="L207" s="185">
        <f t="shared" si="88"/>
        <v>-5158938</v>
      </c>
      <c r="M207" s="185">
        <f t="shared" si="88"/>
        <v>-4901157</v>
      </c>
      <c r="N207" s="185">
        <f t="shared" si="88"/>
        <v>894155</v>
      </c>
      <c r="O207" s="185">
        <f t="shared" si="88"/>
        <v>491507</v>
      </c>
      <c r="P207" s="185">
        <f t="shared" si="88"/>
        <v>939706</v>
      </c>
      <c r="Q207" s="185">
        <f t="shared" si="88"/>
        <v>941067</v>
      </c>
      <c r="R207" s="185">
        <f t="shared" si="88"/>
        <v>591533</v>
      </c>
      <c r="S207" s="185">
        <f t="shared" si="88"/>
        <v>966250</v>
      </c>
      <c r="T207" s="185">
        <f t="shared" si="88"/>
        <v>966250</v>
      </c>
      <c r="U207" s="185">
        <f t="shared" si="88"/>
        <v>914219</v>
      </c>
      <c r="V207" s="185">
        <f t="shared" si="88"/>
        <v>1000000</v>
      </c>
      <c r="W207" s="185">
        <f t="shared" si="88"/>
      </c>
      <c r="X207" s="185">
        <f t="shared" si="88"/>
      </c>
      <c r="Y207" s="185">
        <f t="shared" si="88"/>
      </c>
      <c r="Z207" s="185">
        <f t="shared" si="88"/>
      </c>
      <c r="AA207" s="185">
        <f t="shared" si="88"/>
      </c>
      <c r="AB207" s="185">
        <f t="shared" si="88"/>
      </c>
      <c r="AC207" s="185">
        <f t="shared" si="88"/>
      </c>
      <c r="AD207" s="185">
        <f t="shared" si="88"/>
      </c>
      <c r="AE207" s="185">
        <f t="shared" si="88"/>
      </c>
      <c r="AF207" s="185">
        <f t="shared" si="88"/>
      </c>
      <c r="AG207" s="185">
        <f t="shared" si="88"/>
      </c>
      <c r="AH207" s="185">
        <f t="shared" si="88"/>
      </c>
      <c r="AI207" s="185">
        <f t="shared" si="88"/>
      </c>
      <c r="AJ207" s="185">
        <f t="shared" si="88"/>
      </c>
      <c r="AK207" s="185">
        <f t="shared" si="88"/>
      </c>
      <c r="AL207" s="186">
        <f t="shared" si="88"/>
      </c>
      <c r="AM207" s="147"/>
    </row>
    <row r="208" spans="2:39" ht="15" hidden="1" outlineLevel="2">
      <c r="B208" s="161"/>
      <c r="C208" s="161"/>
      <c r="D208" s="169" t="s">
        <v>386</v>
      </c>
      <c r="E208" s="317" t="s">
        <v>402</v>
      </c>
      <c r="F208" s="223">
        <f t="shared" si="84"/>
        <v>2718318</v>
      </c>
      <c r="G208" s="223">
        <f t="shared" si="85"/>
        <v>663770</v>
      </c>
      <c r="H208" s="224">
        <f t="shared" si="86"/>
        <v>1558424</v>
      </c>
      <c r="I208" s="184">
        <f aca="true" t="shared" si="89" ref="I208:AL208">+IF(I$219=0,"",I221-H221)</f>
        <v>5454966</v>
      </c>
      <c r="J208" s="185">
        <f t="shared" si="89"/>
        <v>-5921125</v>
      </c>
      <c r="K208" s="185">
        <f t="shared" si="89"/>
        <v>1846131</v>
      </c>
      <c r="L208" s="185">
        <f t="shared" si="89"/>
        <v>941062</v>
      </c>
      <c r="M208" s="185">
        <f t="shared" si="89"/>
        <v>938843</v>
      </c>
      <c r="N208" s="185">
        <f t="shared" si="89"/>
        <v>894155</v>
      </c>
      <c r="O208" s="185">
        <f t="shared" si="89"/>
        <v>991507</v>
      </c>
      <c r="P208" s="185">
        <f t="shared" si="89"/>
        <v>939706</v>
      </c>
      <c r="Q208" s="185">
        <f t="shared" si="89"/>
        <v>941067</v>
      </c>
      <c r="R208" s="185">
        <f t="shared" si="89"/>
        <v>591533</v>
      </c>
      <c r="S208" s="185">
        <f t="shared" si="89"/>
        <v>966250</v>
      </c>
      <c r="T208" s="185">
        <f t="shared" si="89"/>
        <v>966250</v>
      </c>
      <c r="U208" s="185">
        <f t="shared" si="89"/>
        <v>914219</v>
      </c>
      <c r="V208" s="185">
        <f t="shared" si="89"/>
        <v>1000000</v>
      </c>
      <c r="W208" s="185">
        <f t="shared" si="89"/>
      </c>
      <c r="X208" s="185">
        <f t="shared" si="89"/>
      </c>
      <c r="Y208" s="185">
        <f t="shared" si="89"/>
      </c>
      <c r="Z208" s="185">
        <f t="shared" si="89"/>
      </c>
      <c r="AA208" s="185">
        <f t="shared" si="89"/>
      </c>
      <c r="AB208" s="185">
        <f t="shared" si="89"/>
      </c>
      <c r="AC208" s="185">
        <f t="shared" si="89"/>
      </c>
      <c r="AD208" s="185">
        <f t="shared" si="89"/>
      </c>
      <c r="AE208" s="185">
        <f t="shared" si="89"/>
      </c>
      <c r="AF208" s="185">
        <f t="shared" si="89"/>
      </c>
      <c r="AG208" s="185">
        <f t="shared" si="89"/>
      </c>
      <c r="AH208" s="185">
        <f t="shared" si="89"/>
      </c>
      <c r="AI208" s="185">
        <f t="shared" si="89"/>
      </c>
      <c r="AJ208" s="185">
        <f t="shared" si="89"/>
      </c>
      <c r="AK208" s="185">
        <f t="shared" si="89"/>
      </c>
      <c r="AL208" s="186">
        <f t="shared" si="89"/>
      </c>
      <c r="AM208" s="147"/>
    </row>
    <row r="209" spans="2:39" ht="15" hidden="1" outlineLevel="2">
      <c r="B209" s="161"/>
      <c r="C209" s="161"/>
      <c r="D209" s="169" t="s">
        <v>387</v>
      </c>
      <c r="E209" s="317" t="s">
        <v>402</v>
      </c>
      <c r="F209" s="223">
        <f t="shared" si="84"/>
        <v>1652281</v>
      </c>
      <c r="G209" s="223">
        <f t="shared" si="85"/>
        <v>10760966</v>
      </c>
      <c r="H209" s="224">
        <f t="shared" si="86"/>
        <v>-343283</v>
      </c>
      <c r="I209" s="184">
        <f aca="true" t="shared" si="90" ref="I209:AL209">+IF(I$219=0,"",I222-H222)</f>
        <v>11016735</v>
      </c>
      <c r="J209" s="185">
        <f t="shared" si="90"/>
        <v>-3716633</v>
      </c>
      <c r="K209" s="185">
        <f t="shared" si="90"/>
        <v>-6519922</v>
      </c>
      <c r="L209" s="185">
        <f t="shared" si="90"/>
        <v>-6100000</v>
      </c>
      <c r="M209" s="185">
        <f t="shared" si="90"/>
        <v>-5840000</v>
      </c>
      <c r="N209" s="185">
        <f t="shared" si="90"/>
        <v>0</v>
      </c>
      <c r="O209" s="185">
        <f t="shared" si="90"/>
        <v>-500000</v>
      </c>
      <c r="P209" s="185">
        <f t="shared" si="90"/>
        <v>0</v>
      </c>
      <c r="Q209" s="185">
        <f t="shared" si="90"/>
        <v>0</v>
      </c>
      <c r="R209" s="185">
        <f t="shared" si="90"/>
        <v>0</v>
      </c>
      <c r="S209" s="185">
        <f t="shared" si="90"/>
        <v>0</v>
      </c>
      <c r="T209" s="185">
        <f t="shared" si="90"/>
        <v>0</v>
      </c>
      <c r="U209" s="185">
        <f t="shared" si="90"/>
        <v>0</v>
      </c>
      <c r="V209" s="185">
        <f t="shared" si="90"/>
        <v>0</v>
      </c>
      <c r="W209" s="185">
        <f t="shared" si="90"/>
      </c>
      <c r="X209" s="185">
        <f t="shared" si="90"/>
      </c>
      <c r="Y209" s="185">
        <f t="shared" si="90"/>
      </c>
      <c r="Z209" s="185">
        <f t="shared" si="90"/>
      </c>
      <c r="AA209" s="185">
        <f t="shared" si="90"/>
      </c>
      <c r="AB209" s="185">
        <f t="shared" si="90"/>
      </c>
      <c r="AC209" s="185">
        <f t="shared" si="90"/>
      </c>
      <c r="AD209" s="185">
        <f t="shared" si="90"/>
      </c>
      <c r="AE209" s="185">
        <f t="shared" si="90"/>
      </c>
      <c r="AF209" s="185">
        <f t="shared" si="90"/>
      </c>
      <c r="AG209" s="185">
        <f t="shared" si="90"/>
      </c>
      <c r="AH209" s="185">
        <f t="shared" si="90"/>
      </c>
      <c r="AI209" s="185">
        <f t="shared" si="90"/>
      </c>
      <c r="AJ209" s="185">
        <f t="shared" si="90"/>
      </c>
      <c r="AK209" s="185">
        <f t="shared" si="90"/>
      </c>
      <c r="AL209" s="186">
        <f t="shared" si="90"/>
      </c>
      <c r="AM209" s="147"/>
    </row>
    <row r="210" spans="2:39" ht="24" hidden="1" outlineLevel="2">
      <c r="B210" s="161"/>
      <c r="C210" s="161"/>
      <c r="D210" s="169" t="s">
        <v>388</v>
      </c>
      <c r="E210" s="317" t="s">
        <v>402</v>
      </c>
      <c r="F210" s="223">
        <f t="shared" si="84"/>
        <v>-58085</v>
      </c>
      <c r="G210" s="223">
        <f t="shared" si="85"/>
        <v>1983069</v>
      </c>
      <c r="H210" s="224">
        <f t="shared" si="86"/>
        <v>404163</v>
      </c>
      <c r="I210" s="184">
        <f aca="true" t="shared" si="91" ref="I210:AL210">+IF(I$219=0,"",I223-H223)</f>
        <v>3528694</v>
      </c>
      <c r="J210" s="185">
        <f t="shared" si="91"/>
        <v>-6075357</v>
      </c>
      <c r="K210" s="185">
        <f t="shared" si="91"/>
        <v>0</v>
      </c>
      <c r="L210" s="185">
        <f t="shared" si="91"/>
        <v>0</v>
      </c>
      <c r="M210" s="185">
        <f t="shared" si="91"/>
        <v>0</v>
      </c>
      <c r="N210" s="185">
        <f t="shared" si="91"/>
        <v>0</v>
      </c>
      <c r="O210" s="185">
        <f t="shared" si="91"/>
        <v>0</v>
      </c>
      <c r="P210" s="185">
        <f t="shared" si="91"/>
        <v>0</v>
      </c>
      <c r="Q210" s="185">
        <f t="shared" si="91"/>
        <v>0</v>
      </c>
      <c r="R210" s="185">
        <f t="shared" si="91"/>
        <v>0</v>
      </c>
      <c r="S210" s="185">
        <f t="shared" si="91"/>
        <v>0</v>
      </c>
      <c r="T210" s="185">
        <f t="shared" si="91"/>
        <v>0</v>
      </c>
      <c r="U210" s="185">
        <f t="shared" si="91"/>
        <v>0</v>
      </c>
      <c r="V210" s="185">
        <f t="shared" si="91"/>
        <v>0</v>
      </c>
      <c r="W210" s="185">
        <f t="shared" si="91"/>
      </c>
      <c r="X210" s="185">
        <f t="shared" si="91"/>
      </c>
      <c r="Y210" s="185">
        <f t="shared" si="91"/>
      </c>
      <c r="Z210" s="185">
        <f t="shared" si="91"/>
      </c>
      <c r="AA210" s="185">
        <f t="shared" si="91"/>
      </c>
      <c r="AB210" s="185">
        <f t="shared" si="91"/>
      </c>
      <c r="AC210" s="185">
        <f t="shared" si="91"/>
      </c>
      <c r="AD210" s="185">
        <f t="shared" si="91"/>
      </c>
      <c r="AE210" s="185">
        <f t="shared" si="91"/>
      </c>
      <c r="AF210" s="185">
        <f t="shared" si="91"/>
      </c>
      <c r="AG210" s="185">
        <f t="shared" si="91"/>
      </c>
      <c r="AH210" s="185">
        <f t="shared" si="91"/>
      </c>
      <c r="AI210" s="185">
        <f t="shared" si="91"/>
      </c>
      <c r="AJ210" s="185">
        <f t="shared" si="91"/>
      </c>
      <c r="AK210" s="185">
        <f t="shared" si="91"/>
      </c>
      <c r="AL210" s="186">
        <f t="shared" si="91"/>
      </c>
      <c r="AM210" s="147"/>
    </row>
    <row r="211" spans="2:39" ht="15" hidden="1" outlineLevel="2">
      <c r="B211" s="161"/>
      <c r="C211" s="161"/>
      <c r="D211" s="170" t="s">
        <v>35</v>
      </c>
      <c r="E211" s="318" t="s">
        <v>402</v>
      </c>
      <c r="F211" s="225">
        <f t="shared" si="84"/>
        <v>1710366</v>
      </c>
      <c r="G211" s="225">
        <f t="shared" si="85"/>
        <v>8777897</v>
      </c>
      <c r="H211" s="226">
        <f t="shared" si="86"/>
        <v>-747446</v>
      </c>
      <c r="I211" s="187">
        <f aca="true" t="shared" si="92" ref="I211:AL211">+IF(I$219=0,"",I224-H224)</f>
        <v>7488041</v>
      </c>
      <c r="J211" s="188">
        <f t="shared" si="92"/>
        <v>2358724</v>
      </c>
      <c r="K211" s="188">
        <f t="shared" si="92"/>
        <v>-6519922</v>
      </c>
      <c r="L211" s="188">
        <f t="shared" si="92"/>
        <v>-6100000</v>
      </c>
      <c r="M211" s="188">
        <f t="shared" si="92"/>
        <v>-5840000</v>
      </c>
      <c r="N211" s="188">
        <f t="shared" si="92"/>
        <v>0</v>
      </c>
      <c r="O211" s="188">
        <f t="shared" si="92"/>
        <v>-500000</v>
      </c>
      <c r="P211" s="188">
        <f t="shared" si="92"/>
        <v>0</v>
      </c>
      <c r="Q211" s="188">
        <f t="shared" si="92"/>
        <v>0</v>
      </c>
      <c r="R211" s="188">
        <f t="shared" si="92"/>
        <v>0</v>
      </c>
      <c r="S211" s="188">
        <f t="shared" si="92"/>
        <v>0</v>
      </c>
      <c r="T211" s="188">
        <f t="shared" si="92"/>
        <v>0</v>
      </c>
      <c r="U211" s="188">
        <f t="shared" si="92"/>
        <v>0</v>
      </c>
      <c r="V211" s="188">
        <f t="shared" si="92"/>
        <v>0</v>
      </c>
      <c r="W211" s="188">
        <f t="shared" si="92"/>
      </c>
      <c r="X211" s="188">
        <f t="shared" si="92"/>
      </c>
      <c r="Y211" s="188">
        <f t="shared" si="92"/>
      </c>
      <c r="Z211" s="188">
        <f t="shared" si="92"/>
      </c>
      <c r="AA211" s="188">
        <f t="shared" si="92"/>
      </c>
      <c r="AB211" s="188">
        <f t="shared" si="92"/>
      </c>
      <c r="AC211" s="188">
        <f t="shared" si="92"/>
      </c>
      <c r="AD211" s="188">
        <f t="shared" si="92"/>
      </c>
      <c r="AE211" s="188">
        <f t="shared" si="92"/>
      </c>
      <c r="AF211" s="188">
        <f t="shared" si="92"/>
      </c>
      <c r="AG211" s="188">
        <f t="shared" si="92"/>
      </c>
      <c r="AH211" s="188">
        <f t="shared" si="92"/>
      </c>
      <c r="AI211" s="188">
        <f t="shared" si="92"/>
      </c>
      <c r="AJ211" s="188">
        <f t="shared" si="92"/>
      </c>
      <c r="AK211" s="188">
        <f t="shared" si="92"/>
      </c>
      <c r="AL211" s="189">
        <f t="shared" si="92"/>
      </c>
      <c r="AM211" s="147"/>
    </row>
    <row r="212" spans="2:39" ht="14.25" hidden="1" outlineLevel="2">
      <c r="B212" s="229"/>
      <c r="C212" s="229"/>
      <c r="D212" s="162" t="s">
        <v>21</v>
      </c>
      <c r="E212" s="315" t="s">
        <v>402</v>
      </c>
      <c r="F212" s="216">
        <f aca="true" t="shared" si="93" ref="F212:F217">+IF(F$225=0,"",F225-E225)</f>
        <v>5295446</v>
      </c>
      <c r="G212" s="216">
        <f aca="true" t="shared" si="94" ref="G212:G217">+IF(G$225=0,"",G225-F225)</f>
        <v>19629480</v>
      </c>
      <c r="H212" s="217">
        <f aca="true" t="shared" si="95" ref="H212:H217">+IF(H$225=0,"",H225-G225)</f>
        <v>-6177334</v>
      </c>
      <c r="I212" s="237">
        <f aca="true" t="shared" si="96" ref="I212:I217">+IF(I$225=0,"",I225-H225)</f>
        <v>10014984</v>
      </c>
      <c r="J212" s="238">
        <f aca="true" t="shared" si="97" ref="J212:AL217">+IF(J$225=0,"",J225-I225)</f>
        <v>-11952493</v>
      </c>
      <c r="K212" s="238">
        <f t="shared" si="97"/>
        <v>-3394582</v>
      </c>
      <c r="L212" s="238">
        <f t="shared" si="97"/>
        <v>-5299588</v>
      </c>
      <c r="M212" s="238">
        <f t="shared" si="97"/>
        <v>-4901157</v>
      </c>
      <c r="N212" s="238">
        <f t="shared" si="97"/>
        <v>894155</v>
      </c>
      <c r="O212" s="238">
        <f t="shared" si="97"/>
        <v>491507</v>
      </c>
      <c r="P212" s="238">
        <f t="shared" si="97"/>
        <v>939706</v>
      </c>
      <c r="Q212" s="238">
        <f t="shared" si="97"/>
        <v>941069</v>
      </c>
      <c r="R212" s="238">
        <f t="shared" si="97"/>
        <v>938796</v>
      </c>
      <c r="S212" s="238">
        <f t="shared" si="97"/>
        <v>966250</v>
      </c>
      <c r="T212" s="238">
        <f t="shared" si="97"/>
        <v>966258</v>
      </c>
      <c r="U212" s="238">
        <f t="shared" si="97"/>
        <v>2568679</v>
      </c>
      <c r="V212" s="238">
        <f t="shared" si="97"/>
        <v>1000000</v>
      </c>
      <c r="W212" s="238">
        <f t="shared" si="97"/>
      </c>
      <c r="X212" s="238">
        <f t="shared" si="97"/>
      </c>
      <c r="Y212" s="238">
        <f t="shared" si="97"/>
      </c>
      <c r="Z212" s="238">
        <f t="shared" si="97"/>
      </c>
      <c r="AA212" s="238">
        <f t="shared" si="97"/>
      </c>
      <c r="AB212" s="238">
        <f t="shared" si="97"/>
      </c>
      <c r="AC212" s="238">
        <f t="shared" si="97"/>
      </c>
      <c r="AD212" s="238">
        <f t="shared" si="97"/>
      </c>
      <c r="AE212" s="238">
        <f t="shared" si="97"/>
      </c>
      <c r="AF212" s="238">
        <f t="shared" si="97"/>
      </c>
      <c r="AG212" s="238">
        <f t="shared" si="97"/>
      </c>
      <c r="AH212" s="238">
        <f t="shared" si="97"/>
      </c>
      <c r="AI212" s="238">
        <f t="shared" si="97"/>
      </c>
      <c r="AJ212" s="238">
        <f t="shared" si="97"/>
      </c>
      <c r="AK212" s="238">
        <f t="shared" si="97"/>
      </c>
      <c r="AL212" s="239">
        <f t="shared" si="97"/>
      </c>
      <c r="AM212" s="233"/>
    </row>
    <row r="213" spans="2:39" ht="15" hidden="1" outlineLevel="2">
      <c r="B213" s="161"/>
      <c r="C213" s="161"/>
      <c r="D213" s="174" t="s">
        <v>384</v>
      </c>
      <c r="E213" s="317" t="s">
        <v>402</v>
      </c>
      <c r="F213" s="223">
        <f t="shared" si="93"/>
        <v>7730469</v>
      </c>
      <c r="G213" s="223">
        <f t="shared" si="94"/>
        <v>22696141</v>
      </c>
      <c r="H213" s="224">
        <f t="shared" si="95"/>
        <v>-6027140</v>
      </c>
      <c r="I213" s="184">
        <f t="shared" si="96"/>
        <v>10075890</v>
      </c>
      <c r="J213" s="185">
        <f aca="true" t="shared" si="98" ref="J213:X213">+IF(J$225=0,"",J226-I226)</f>
        <v>-11583319</v>
      </c>
      <c r="K213" s="185">
        <f t="shared" si="98"/>
        <v>-2855602</v>
      </c>
      <c r="L213" s="185">
        <f t="shared" si="98"/>
        <v>-5158938</v>
      </c>
      <c r="M213" s="185">
        <f t="shared" si="98"/>
        <v>-4901157</v>
      </c>
      <c r="N213" s="185">
        <f t="shared" si="98"/>
        <v>894155</v>
      </c>
      <c r="O213" s="185">
        <f t="shared" si="98"/>
        <v>491507</v>
      </c>
      <c r="P213" s="185">
        <f t="shared" si="98"/>
        <v>939706</v>
      </c>
      <c r="Q213" s="185">
        <f t="shared" si="98"/>
        <v>941069</v>
      </c>
      <c r="R213" s="185">
        <f t="shared" si="98"/>
        <v>938796</v>
      </c>
      <c r="S213" s="185">
        <f t="shared" si="98"/>
        <v>966250</v>
      </c>
      <c r="T213" s="185">
        <f t="shared" si="98"/>
        <v>966258</v>
      </c>
      <c r="U213" s="185">
        <f t="shared" si="98"/>
        <v>2568679</v>
      </c>
      <c r="V213" s="185">
        <f t="shared" si="98"/>
        <v>1000000</v>
      </c>
      <c r="W213" s="185">
        <f t="shared" si="98"/>
      </c>
      <c r="X213" s="185">
        <f t="shared" si="98"/>
      </c>
      <c r="Y213" s="185">
        <f t="shared" si="97"/>
      </c>
      <c r="Z213" s="185">
        <f t="shared" si="97"/>
      </c>
      <c r="AA213" s="185">
        <f t="shared" si="97"/>
      </c>
      <c r="AB213" s="185">
        <f t="shared" si="97"/>
      </c>
      <c r="AC213" s="185">
        <f t="shared" si="97"/>
      </c>
      <c r="AD213" s="185">
        <f t="shared" si="97"/>
      </c>
      <c r="AE213" s="185">
        <f t="shared" si="97"/>
      </c>
      <c r="AF213" s="185">
        <f t="shared" si="97"/>
      </c>
      <c r="AG213" s="185">
        <f t="shared" si="97"/>
      </c>
      <c r="AH213" s="185">
        <f t="shared" si="97"/>
      </c>
      <c r="AI213" s="185">
        <f t="shared" si="97"/>
      </c>
      <c r="AJ213" s="185">
        <f t="shared" si="97"/>
      </c>
      <c r="AK213" s="185">
        <f t="shared" si="97"/>
      </c>
      <c r="AL213" s="186">
        <f t="shared" si="97"/>
      </c>
      <c r="AM213" s="147"/>
    </row>
    <row r="214" spans="2:39" ht="14.25" hidden="1" outlineLevel="2">
      <c r="B214" s="229"/>
      <c r="C214" s="229"/>
      <c r="D214" s="175" t="s">
        <v>36</v>
      </c>
      <c r="E214" s="319" t="s">
        <v>402</v>
      </c>
      <c r="F214" s="227">
        <f t="shared" si="93"/>
        <v>6025448</v>
      </c>
      <c r="G214" s="227">
        <f t="shared" si="94"/>
        <v>962183</v>
      </c>
      <c r="H214" s="228">
        <f t="shared" si="95"/>
        <v>-4873285</v>
      </c>
      <c r="I214" s="240">
        <f t="shared" si="96"/>
        <v>13943670</v>
      </c>
      <c r="J214" s="241">
        <f t="shared" si="97"/>
        <v>-7876941</v>
      </c>
      <c r="K214" s="241">
        <f t="shared" si="97"/>
        <v>-694582</v>
      </c>
      <c r="L214" s="241">
        <f t="shared" si="97"/>
        <v>902815</v>
      </c>
      <c r="M214" s="241">
        <f t="shared" si="97"/>
        <v>938843</v>
      </c>
      <c r="N214" s="241">
        <f t="shared" si="97"/>
        <v>894155</v>
      </c>
      <c r="O214" s="241">
        <f t="shared" si="97"/>
        <v>991507</v>
      </c>
      <c r="P214" s="241">
        <f t="shared" si="97"/>
        <v>939706</v>
      </c>
      <c r="Q214" s="241">
        <f t="shared" si="97"/>
        <v>941069</v>
      </c>
      <c r="R214" s="241">
        <f t="shared" si="97"/>
        <v>938796</v>
      </c>
      <c r="S214" s="241">
        <f t="shared" si="97"/>
        <v>966250</v>
      </c>
      <c r="T214" s="241">
        <f t="shared" si="97"/>
        <v>966258</v>
      </c>
      <c r="U214" s="241">
        <f t="shared" si="97"/>
        <v>2568679</v>
      </c>
      <c r="V214" s="241">
        <f t="shared" si="97"/>
        <v>1000000</v>
      </c>
      <c r="W214" s="241">
        <f t="shared" si="97"/>
      </c>
      <c r="X214" s="241">
        <f t="shared" si="97"/>
      </c>
      <c r="Y214" s="241">
        <f t="shared" si="97"/>
      </c>
      <c r="Z214" s="241">
        <f t="shared" si="97"/>
      </c>
      <c r="AA214" s="241">
        <f t="shared" si="97"/>
      </c>
      <c r="AB214" s="241">
        <f t="shared" si="97"/>
      </c>
      <c r="AC214" s="241">
        <f t="shared" si="97"/>
      </c>
      <c r="AD214" s="241">
        <f t="shared" si="97"/>
      </c>
      <c r="AE214" s="241">
        <f t="shared" si="97"/>
      </c>
      <c r="AF214" s="241">
        <f t="shared" si="97"/>
      </c>
      <c r="AG214" s="241">
        <f t="shared" si="97"/>
      </c>
      <c r="AH214" s="241">
        <f t="shared" si="97"/>
      </c>
      <c r="AI214" s="241">
        <f t="shared" si="97"/>
      </c>
      <c r="AJ214" s="241">
        <f t="shared" si="97"/>
      </c>
      <c r="AK214" s="241">
        <f t="shared" si="97"/>
      </c>
      <c r="AL214" s="242">
        <f t="shared" si="97"/>
      </c>
      <c r="AM214" s="233"/>
    </row>
    <row r="215" spans="2:39" ht="15" hidden="1" outlineLevel="2">
      <c r="B215" s="161"/>
      <c r="C215" s="161"/>
      <c r="D215" s="169" t="s">
        <v>38</v>
      </c>
      <c r="E215" s="317" t="s">
        <v>402</v>
      </c>
      <c r="F215" s="223">
        <f t="shared" si="93"/>
        <v>6150258</v>
      </c>
      <c r="G215" s="223">
        <f t="shared" si="94"/>
        <v>405458</v>
      </c>
      <c r="H215" s="224">
        <f t="shared" si="95"/>
        <v>-4739126</v>
      </c>
      <c r="I215" s="184">
        <f t="shared" si="96"/>
        <v>13757985</v>
      </c>
      <c r="J215" s="185">
        <f t="shared" si="97"/>
        <v>-7764040</v>
      </c>
      <c r="K215" s="185">
        <f t="shared" si="97"/>
        <v>-155602</v>
      </c>
      <c r="L215" s="185">
        <f t="shared" si="97"/>
        <v>1043465</v>
      </c>
      <c r="M215" s="185">
        <f t="shared" si="97"/>
        <v>938843</v>
      </c>
      <c r="N215" s="185">
        <f t="shared" si="97"/>
        <v>894155</v>
      </c>
      <c r="O215" s="185">
        <f t="shared" si="97"/>
        <v>991507</v>
      </c>
      <c r="P215" s="185">
        <f t="shared" si="97"/>
        <v>939706</v>
      </c>
      <c r="Q215" s="185">
        <f t="shared" si="97"/>
        <v>941069</v>
      </c>
      <c r="R215" s="185">
        <f t="shared" si="97"/>
        <v>938796</v>
      </c>
      <c r="S215" s="185">
        <f t="shared" si="97"/>
        <v>966250</v>
      </c>
      <c r="T215" s="185">
        <f t="shared" si="97"/>
        <v>966258</v>
      </c>
      <c r="U215" s="185">
        <f t="shared" si="97"/>
        <v>2568679</v>
      </c>
      <c r="V215" s="185">
        <f t="shared" si="97"/>
        <v>1000000</v>
      </c>
      <c r="W215" s="185">
        <f t="shared" si="97"/>
      </c>
      <c r="X215" s="185">
        <f t="shared" si="97"/>
      </c>
      <c r="Y215" s="185">
        <f t="shared" si="97"/>
      </c>
      <c r="Z215" s="185">
        <f t="shared" si="97"/>
      </c>
      <c r="AA215" s="185">
        <f t="shared" si="97"/>
      </c>
      <c r="AB215" s="185">
        <f t="shared" si="97"/>
      </c>
      <c r="AC215" s="185">
        <f t="shared" si="97"/>
      </c>
      <c r="AD215" s="185">
        <f t="shared" si="97"/>
      </c>
      <c r="AE215" s="185">
        <f t="shared" si="97"/>
      </c>
      <c r="AF215" s="185">
        <f t="shared" si="97"/>
      </c>
      <c r="AG215" s="185">
        <f t="shared" si="97"/>
      </c>
      <c r="AH215" s="185">
        <f t="shared" si="97"/>
      </c>
      <c r="AI215" s="185">
        <f t="shared" si="97"/>
      </c>
      <c r="AJ215" s="185">
        <f t="shared" si="97"/>
      </c>
      <c r="AK215" s="185">
        <f t="shared" si="97"/>
      </c>
      <c r="AL215" s="186">
        <f t="shared" si="97"/>
      </c>
      <c r="AM215" s="147"/>
    </row>
    <row r="216" spans="2:39" ht="15" hidden="1" outlineLevel="2">
      <c r="B216" s="161"/>
      <c r="C216" s="161"/>
      <c r="D216" s="169" t="s">
        <v>37</v>
      </c>
      <c r="E216" s="317" t="s">
        <v>402</v>
      </c>
      <c r="F216" s="223">
        <f t="shared" si="93"/>
        <v>1604515</v>
      </c>
      <c r="G216" s="223">
        <f t="shared" si="94"/>
        <v>2456636</v>
      </c>
      <c r="H216" s="224">
        <f t="shared" si="95"/>
        <v>-477023</v>
      </c>
      <c r="I216" s="184">
        <f t="shared" si="96"/>
        <v>2529083</v>
      </c>
      <c r="J216" s="185">
        <f t="shared" si="97"/>
        <v>52339</v>
      </c>
      <c r="K216" s="185">
        <f t="shared" si="97"/>
        <v>100000</v>
      </c>
      <c r="L216" s="185">
        <f t="shared" si="97"/>
        <v>100000</v>
      </c>
      <c r="M216" s="185">
        <f t="shared" si="97"/>
        <v>200000</v>
      </c>
      <c r="N216" s="185">
        <f t="shared" si="97"/>
        <v>600000</v>
      </c>
      <c r="O216" s="185">
        <f t="shared" si="97"/>
        <v>600000</v>
      </c>
      <c r="P216" s="185">
        <f t="shared" si="97"/>
        <v>600000</v>
      </c>
      <c r="Q216" s="185">
        <f t="shared" si="97"/>
        <v>600000</v>
      </c>
      <c r="R216" s="185">
        <f t="shared" si="97"/>
        <v>600000</v>
      </c>
      <c r="S216" s="185">
        <f t="shared" si="97"/>
        <v>600000</v>
      </c>
      <c r="T216" s="185">
        <f t="shared" si="97"/>
        <v>600000</v>
      </c>
      <c r="U216" s="185">
        <f t="shared" si="97"/>
        <v>600000</v>
      </c>
      <c r="V216" s="185">
        <f t="shared" si="97"/>
        <v>600000</v>
      </c>
      <c r="W216" s="185">
        <f t="shared" si="97"/>
      </c>
      <c r="X216" s="185">
        <f t="shared" si="97"/>
      </c>
      <c r="Y216" s="185">
        <f t="shared" si="97"/>
      </c>
      <c r="Z216" s="185">
        <f t="shared" si="97"/>
      </c>
      <c r="AA216" s="185">
        <f t="shared" si="97"/>
      </c>
      <c r="AB216" s="185">
        <f t="shared" si="97"/>
      </c>
      <c r="AC216" s="185">
        <f t="shared" si="97"/>
      </c>
      <c r="AD216" s="185">
        <f t="shared" si="97"/>
      </c>
      <c r="AE216" s="185">
        <f t="shared" si="97"/>
      </c>
      <c r="AF216" s="185">
        <f t="shared" si="97"/>
      </c>
      <c r="AG216" s="185">
        <f t="shared" si="97"/>
      </c>
      <c r="AH216" s="185">
        <f t="shared" si="97"/>
      </c>
      <c r="AI216" s="185">
        <f t="shared" si="97"/>
      </c>
      <c r="AJ216" s="185">
        <f t="shared" si="97"/>
      </c>
      <c r="AK216" s="185">
        <f t="shared" si="97"/>
      </c>
      <c r="AL216" s="186">
        <f t="shared" si="97"/>
      </c>
      <c r="AM216" s="147"/>
    </row>
    <row r="217" spans="2:39" ht="24" hidden="1" outlineLevel="2">
      <c r="B217" s="161"/>
      <c r="C217" s="161"/>
      <c r="D217" s="170" t="s">
        <v>383</v>
      </c>
      <c r="E217" s="318" t="s">
        <v>402</v>
      </c>
      <c r="F217" s="225">
        <f t="shared" si="93"/>
        <v>8345874</v>
      </c>
      <c r="G217" s="225">
        <f t="shared" si="94"/>
        <v>-2655221</v>
      </c>
      <c r="H217" s="226">
        <f t="shared" si="95"/>
        <v>-3588747</v>
      </c>
      <c r="I217" s="187">
        <f t="shared" si="96"/>
        <v>10343054</v>
      </c>
      <c r="J217" s="188">
        <f t="shared" si="97"/>
        <v>-7654978</v>
      </c>
      <c r="K217" s="188">
        <f t="shared" si="97"/>
        <v>-710571</v>
      </c>
      <c r="L217" s="188">
        <f t="shared" si="97"/>
        <v>946067</v>
      </c>
      <c r="M217" s="188">
        <f t="shared" si="97"/>
        <v>779896</v>
      </c>
      <c r="N217" s="188">
        <f t="shared" si="97"/>
        <v>335093</v>
      </c>
      <c r="O217" s="188">
        <f t="shared" si="97"/>
        <v>432454</v>
      </c>
      <c r="P217" s="188">
        <f t="shared" si="97"/>
        <v>380562</v>
      </c>
      <c r="Q217" s="188">
        <f t="shared" si="97"/>
        <v>382114</v>
      </c>
      <c r="R217" s="188">
        <f t="shared" si="97"/>
        <v>381958</v>
      </c>
      <c r="S217" s="188">
        <f t="shared" si="97"/>
        <v>389282</v>
      </c>
      <c r="T217" s="188">
        <f t="shared" si="97"/>
        <v>417320</v>
      </c>
      <c r="U217" s="188">
        <f t="shared" si="97"/>
        <v>1954205</v>
      </c>
      <c r="V217" s="188">
        <f t="shared" si="97"/>
        <v>283750</v>
      </c>
      <c r="W217" s="188">
        <f t="shared" si="97"/>
      </c>
      <c r="X217" s="188">
        <f t="shared" si="97"/>
      </c>
      <c r="Y217" s="188">
        <f t="shared" si="97"/>
      </c>
      <c r="Z217" s="188">
        <f t="shared" si="97"/>
      </c>
      <c r="AA217" s="188">
        <f t="shared" si="97"/>
      </c>
      <c r="AB217" s="188">
        <f t="shared" si="97"/>
      </c>
      <c r="AC217" s="188">
        <f t="shared" si="97"/>
      </c>
      <c r="AD217" s="188">
        <f t="shared" si="97"/>
      </c>
      <c r="AE217" s="188">
        <f t="shared" si="97"/>
      </c>
      <c r="AF217" s="188">
        <f t="shared" si="97"/>
      </c>
      <c r="AG217" s="188">
        <f t="shared" si="97"/>
      </c>
      <c r="AH217" s="188">
        <f t="shared" si="97"/>
      </c>
      <c r="AI217" s="188">
        <f t="shared" si="97"/>
      </c>
      <c r="AJ217" s="188">
        <f t="shared" si="97"/>
      </c>
      <c r="AK217" s="188">
        <f t="shared" si="97"/>
      </c>
      <c r="AL217" s="189">
        <f t="shared" si="97"/>
      </c>
      <c r="AM217" s="147"/>
    </row>
    <row r="218" spans="2:39" ht="15" hidden="1" outlineLevel="1">
      <c r="B218" s="161"/>
      <c r="C218" s="161"/>
      <c r="D218" s="260" t="s">
        <v>417</v>
      </c>
      <c r="E218" s="179"/>
      <c r="F218" s="179"/>
      <c r="G218" s="179"/>
      <c r="H218" s="179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47"/>
    </row>
    <row r="219" spans="2:39" ht="14.25" hidden="1" outlineLevel="2">
      <c r="B219" s="229"/>
      <c r="C219" s="229"/>
      <c r="D219" s="162" t="s">
        <v>26</v>
      </c>
      <c r="E219" s="181">
        <f>+E10</f>
        <v>82775258</v>
      </c>
      <c r="F219" s="182">
        <f>+F10</f>
        <v>81499993</v>
      </c>
      <c r="G219" s="182">
        <f>+G10</f>
        <v>90042950</v>
      </c>
      <c r="H219" s="183">
        <f>+H10</f>
        <v>91273113</v>
      </c>
      <c r="I219" s="237">
        <f aca="true" t="shared" si="99" ref="I219:AK219">+I10</f>
        <v>107375761</v>
      </c>
      <c r="J219" s="238">
        <f t="shared" si="99"/>
        <v>97368829</v>
      </c>
      <c r="K219" s="238">
        <f t="shared" si="99"/>
        <v>92156058</v>
      </c>
      <c r="L219" s="238">
        <f t="shared" si="99"/>
        <v>86856470</v>
      </c>
      <c r="M219" s="238">
        <f t="shared" si="99"/>
        <v>81955313</v>
      </c>
      <c r="N219" s="238">
        <f t="shared" si="99"/>
        <v>82849468</v>
      </c>
      <c r="O219" s="238">
        <f t="shared" si="99"/>
        <v>83340975</v>
      </c>
      <c r="P219" s="238">
        <f t="shared" si="99"/>
        <v>84280681</v>
      </c>
      <c r="Q219" s="238">
        <f t="shared" si="99"/>
        <v>85221748</v>
      </c>
      <c r="R219" s="238">
        <f t="shared" si="99"/>
        <v>85813281</v>
      </c>
      <c r="S219" s="238">
        <f t="shared" si="99"/>
        <v>86779531</v>
      </c>
      <c r="T219" s="238">
        <f t="shared" si="99"/>
        <v>87745781</v>
      </c>
      <c r="U219" s="238">
        <f t="shared" si="99"/>
        <v>88660000</v>
      </c>
      <c r="V219" s="238">
        <f t="shared" si="99"/>
        <v>89660000</v>
      </c>
      <c r="W219" s="238">
        <f t="shared" si="99"/>
        <v>0</v>
      </c>
      <c r="X219" s="238">
        <f t="shared" si="99"/>
        <v>0</v>
      </c>
      <c r="Y219" s="238">
        <f t="shared" si="99"/>
        <v>0</v>
      </c>
      <c r="Z219" s="238">
        <f t="shared" si="99"/>
        <v>0</v>
      </c>
      <c r="AA219" s="238">
        <f t="shared" si="99"/>
        <v>0</v>
      </c>
      <c r="AB219" s="238">
        <f t="shared" si="99"/>
        <v>0</v>
      </c>
      <c r="AC219" s="238">
        <f t="shared" si="99"/>
        <v>0</v>
      </c>
      <c r="AD219" s="238">
        <f t="shared" si="99"/>
        <v>0</v>
      </c>
      <c r="AE219" s="238">
        <f t="shared" si="99"/>
        <v>0</v>
      </c>
      <c r="AF219" s="238">
        <f t="shared" si="99"/>
        <v>0</v>
      </c>
      <c r="AG219" s="238">
        <f t="shared" si="99"/>
        <v>0</v>
      </c>
      <c r="AH219" s="238">
        <f t="shared" si="99"/>
        <v>0</v>
      </c>
      <c r="AI219" s="238">
        <f t="shared" si="99"/>
        <v>0</v>
      </c>
      <c r="AJ219" s="238">
        <f t="shared" si="99"/>
        <v>0</v>
      </c>
      <c r="AK219" s="238">
        <f t="shared" si="99"/>
        <v>0</v>
      </c>
      <c r="AL219" s="239">
        <f>+AL10</f>
        <v>0</v>
      </c>
      <c r="AM219" s="233"/>
    </row>
    <row r="220" spans="2:39" ht="15" hidden="1" outlineLevel="2">
      <c r="B220" s="161"/>
      <c r="C220" s="161"/>
      <c r="D220" s="165" t="s">
        <v>385</v>
      </c>
      <c r="E220" s="190">
        <f>+(E10-E77-E80)</f>
        <v>72844780</v>
      </c>
      <c r="F220" s="191">
        <f>+(F10-F77-F80)</f>
        <v>77215379</v>
      </c>
      <c r="G220" s="191">
        <f>+(G10-G77-G80)</f>
        <v>88640115</v>
      </c>
      <c r="H220" s="192">
        <f>+(H10-H77-H80)</f>
        <v>89855256</v>
      </c>
      <c r="I220" s="184">
        <f>+(I10-I77-I80)</f>
        <v>106326957</v>
      </c>
      <c r="J220" s="185">
        <f aca="true" t="shared" si="100" ref="J220:AL220">+(J10-J77-J80)</f>
        <v>96689199</v>
      </c>
      <c r="K220" s="185">
        <f t="shared" si="100"/>
        <v>92015408</v>
      </c>
      <c r="L220" s="185">
        <f t="shared" si="100"/>
        <v>86856470</v>
      </c>
      <c r="M220" s="185">
        <f t="shared" si="100"/>
        <v>81955313</v>
      </c>
      <c r="N220" s="185">
        <f t="shared" si="100"/>
        <v>82849468</v>
      </c>
      <c r="O220" s="185">
        <f t="shared" si="100"/>
        <v>83340975</v>
      </c>
      <c r="P220" s="185">
        <f t="shared" si="100"/>
        <v>84280681</v>
      </c>
      <c r="Q220" s="185">
        <f t="shared" si="100"/>
        <v>85221748</v>
      </c>
      <c r="R220" s="185">
        <f t="shared" si="100"/>
        <v>85813281</v>
      </c>
      <c r="S220" s="185">
        <f t="shared" si="100"/>
        <v>86779531</v>
      </c>
      <c r="T220" s="185">
        <f t="shared" si="100"/>
        <v>87745781</v>
      </c>
      <c r="U220" s="185">
        <f t="shared" si="100"/>
        <v>88660000</v>
      </c>
      <c r="V220" s="185">
        <f t="shared" si="100"/>
        <v>89660000</v>
      </c>
      <c r="W220" s="185">
        <f t="shared" si="100"/>
        <v>0</v>
      </c>
      <c r="X220" s="185">
        <f t="shared" si="100"/>
        <v>0</v>
      </c>
      <c r="Y220" s="185">
        <f t="shared" si="100"/>
        <v>0</v>
      </c>
      <c r="Z220" s="185">
        <f t="shared" si="100"/>
        <v>0</v>
      </c>
      <c r="AA220" s="185">
        <f t="shared" si="100"/>
        <v>0</v>
      </c>
      <c r="AB220" s="185">
        <f t="shared" si="100"/>
        <v>0</v>
      </c>
      <c r="AC220" s="185">
        <f t="shared" si="100"/>
        <v>0</v>
      </c>
      <c r="AD220" s="185">
        <f t="shared" si="100"/>
        <v>0</v>
      </c>
      <c r="AE220" s="185">
        <f t="shared" si="100"/>
        <v>0</v>
      </c>
      <c r="AF220" s="185">
        <f t="shared" si="100"/>
        <v>0</v>
      </c>
      <c r="AG220" s="185">
        <f t="shared" si="100"/>
        <v>0</v>
      </c>
      <c r="AH220" s="185">
        <f t="shared" si="100"/>
        <v>0</v>
      </c>
      <c r="AI220" s="185">
        <f t="shared" si="100"/>
        <v>0</v>
      </c>
      <c r="AJ220" s="185">
        <f t="shared" si="100"/>
        <v>0</v>
      </c>
      <c r="AK220" s="185">
        <f t="shared" si="100"/>
        <v>0</v>
      </c>
      <c r="AL220" s="186">
        <f t="shared" si="100"/>
        <v>0</v>
      </c>
      <c r="AM220" s="147"/>
    </row>
    <row r="221" spans="2:39" ht="15" hidden="1" outlineLevel="2">
      <c r="B221" s="161"/>
      <c r="C221" s="161"/>
      <c r="D221" s="169" t="s">
        <v>386</v>
      </c>
      <c r="E221" s="190">
        <f>+E11-E77</f>
        <v>72094924</v>
      </c>
      <c r="F221" s="191">
        <f>+F11-F77</f>
        <v>74813242</v>
      </c>
      <c r="G221" s="191">
        <f>+G11-G77</f>
        <v>75477012</v>
      </c>
      <c r="H221" s="192">
        <f>+H11-H77</f>
        <v>77035436</v>
      </c>
      <c r="I221" s="184">
        <f>+I11-I77</f>
        <v>82490402</v>
      </c>
      <c r="J221" s="185">
        <f aca="true" t="shared" si="101" ref="J221:AL221">+J11-J77</f>
        <v>76569277</v>
      </c>
      <c r="K221" s="185">
        <f t="shared" si="101"/>
        <v>78415408</v>
      </c>
      <c r="L221" s="185">
        <f t="shared" si="101"/>
        <v>79356470</v>
      </c>
      <c r="M221" s="185">
        <f t="shared" si="101"/>
        <v>80295313</v>
      </c>
      <c r="N221" s="185">
        <f t="shared" si="101"/>
        <v>81189468</v>
      </c>
      <c r="O221" s="185">
        <f t="shared" si="101"/>
        <v>82180975</v>
      </c>
      <c r="P221" s="185">
        <f t="shared" si="101"/>
        <v>83120681</v>
      </c>
      <c r="Q221" s="185">
        <f t="shared" si="101"/>
        <v>84061748</v>
      </c>
      <c r="R221" s="185">
        <f t="shared" si="101"/>
        <v>84653281</v>
      </c>
      <c r="S221" s="185">
        <f t="shared" si="101"/>
        <v>85619531</v>
      </c>
      <c r="T221" s="185">
        <f t="shared" si="101"/>
        <v>86585781</v>
      </c>
      <c r="U221" s="185">
        <f t="shared" si="101"/>
        <v>87500000</v>
      </c>
      <c r="V221" s="185">
        <f t="shared" si="101"/>
        <v>88500000</v>
      </c>
      <c r="W221" s="185">
        <f t="shared" si="101"/>
        <v>0</v>
      </c>
      <c r="X221" s="185">
        <f t="shared" si="101"/>
        <v>0</v>
      </c>
      <c r="Y221" s="185">
        <f t="shared" si="101"/>
        <v>0</v>
      </c>
      <c r="Z221" s="185">
        <f t="shared" si="101"/>
        <v>0</v>
      </c>
      <c r="AA221" s="185">
        <f t="shared" si="101"/>
        <v>0</v>
      </c>
      <c r="AB221" s="185">
        <f t="shared" si="101"/>
        <v>0</v>
      </c>
      <c r="AC221" s="185">
        <f t="shared" si="101"/>
        <v>0</v>
      </c>
      <c r="AD221" s="185">
        <f t="shared" si="101"/>
        <v>0</v>
      </c>
      <c r="AE221" s="185">
        <f t="shared" si="101"/>
        <v>0</v>
      </c>
      <c r="AF221" s="185">
        <f t="shared" si="101"/>
        <v>0</v>
      </c>
      <c r="AG221" s="185">
        <f t="shared" si="101"/>
        <v>0</v>
      </c>
      <c r="AH221" s="185">
        <f t="shared" si="101"/>
        <v>0</v>
      </c>
      <c r="AI221" s="185">
        <f t="shared" si="101"/>
        <v>0</v>
      </c>
      <c r="AJ221" s="185">
        <f t="shared" si="101"/>
        <v>0</v>
      </c>
      <c r="AK221" s="185">
        <f t="shared" si="101"/>
        <v>0</v>
      </c>
      <c r="AL221" s="186">
        <f t="shared" si="101"/>
        <v>0</v>
      </c>
      <c r="AM221" s="147"/>
    </row>
    <row r="222" spans="2:39" ht="15" hidden="1" outlineLevel="2">
      <c r="B222" s="161"/>
      <c r="C222" s="161"/>
      <c r="D222" s="169" t="s">
        <v>387</v>
      </c>
      <c r="E222" s="190">
        <f>+E18-E80</f>
        <v>749856</v>
      </c>
      <c r="F222" s="191">
        <f>+F18-F80</f>
        <v>2402137</v>
      </c>
      <c r="G222" s="191">
        <f>+G18-G80</f>
        <v>13163103</v>
      </c>
      <c r="H222" s="192">
        <f>+H18-H80</f>
        <v>12819820</v>
      </c>
      <c r="I222" s="184">
        <f>+I18-I80</f>
        <v>23836555</v>
      </c>
      <c r="J222" s="185">
        <f aca="true" t="shared" si="102" ref="J222:AL222">+J18-J80</f>
        <v>20119922</v>
      </c>
      <c r="K222" s="185">
        <f t="shared" si="102"/>
        <v>13600000</v>
      </c>
      <c r="L222" s="185">
        <f t="shared" si="102"/>
        <v>7500000</v>
      </c>
      <c r="M222" s="185">
        <f t="shared" si="102"/>
        <v>1660000</v>
      </c>
      <c r="N222" s="185">
        <f t="shared" si="102"/>
        <v>1660000</v>
      </c>
      <c r="O222" s="185">
        <f t="shared" si="102"/>
        <v>1160000</v>
      </c>
      <c r="P222" s="185">
        <f t="shared" si="102"/>
        <v>1160000</v>
      </c>
      <c r="Q222" s="185">
        <f t="shared" si="102"/>
        <v>1160000</v>
      </c>
      <c r="R222" s="185">
        <f t="shared" si="102"/>
        <v>1160000</v>
      </c>
      <c r="S222" s="185">
        <f t="shared" si="102"/>
        <v>1160000</v>
      </c>
      <c r="T222" s="185">
        <f t="shared" si="102"/>
        <v>1160000</v>
      </c>
      <c r="U222" s="185">
        <f t="shared" si="102"/>
        <v>1160000</v>
      </c>
      <c r="V222" s="185">
        <f t="shared" si="102"/>
        <v>1160000</v>
      </c>
      <c r="W222" s="185">
        <f t="shared" si="102"/>
        <v>0</v>
      </c>
      <c r="X222" s="185">
        <f t="shared" si="102"/>
        <v>0</v>
      </c>
      <c r="Y222" s="185">
        <f t="shared" si="102"/>
        <v>0</v>
      </c>
      <c r="Z222" s="185">
        <f t="shared" si="102"/>
        <v>0</v>
      </c>
      <c r="AA222" s="185">
        <f t="shared" si="102"/>
        <v>0</v>
      </c>
      <c r="AB222" s="185">
        <f t="shared" si="102"/>
        <v>0</v>
      </c>
      <c r="AC222" s="185">
        <f t="shared" si="102"/>
        <v>0</v>
      </c>
      <c r="AD222" s="185">
        <f t="shared" si="102"/>
        <v>0</v>
      </c>
      <c r="AE222" s="185">
        <f t="shared" si="102"/>
        <v>0</v>
      </c>
      <c r="AF222" s="185">
        <f t="shared" si="102"/>
        <v>0</v>
      </c>
      <c r="AG222" s="185">
        <f t="shared" si="102"/>
        <v>0</v>
      </c>
      <c r="AH222" s="185">
        <f t="shared" si="102"/>
        <v>0</v>
      </c>
      <c r="AI222" s="185">
        <f t="shared" si="102"/>
        <v>0</v>
      </c>
      <c r="AJ222" s="185">
        <f t="shared" si="102"/>
        <v>0</v>
      </c>
      <c r="AK222" s="185">
        <f t="shared" si="102"/>
        <v>0</v>
      </c>
      <c r="AL222" s="186">
        <f t="shared" si="102"/>
        <v>0</v>
      </c>
      <c r="AM222" s="147"/>
    </row>
    <row r="223" spans="2:39" ht="24" hidden="1" outlineLevel="2">
      <c r="B223" s="161"/>
      <c r="C223" s="161"/>
      <c r="D223" s="169" t="s">
        <v>388</v>
      </c>
      <c r="E223" s="190">
        <f>+E18-E80-E19</f>
        <v>217516</v>
      </c>
      <c r="F223" s="191">
        <f>+F18-F80-F19</f>
        <v>159431</v>
      </c>
      <c r="G223" s="191">
        <f>+G18-G80-G19</f>
        <v>2142500</v>
      </c>
      <c r="H223" s="192">
        <f>+H18-H80-H19</f>
        <v>2546663</v>
      </c>
      <c r="I223" s="184">
        <f>+I18-I80-I19</f>
        <v>6075357</v>
      </c>
      <c r="J223" s="185">
        <f aca="true" t="shared" si="103" ref="J223:AL223">+J18-J80-J19</f>
        <v>0</v>
      </c>
      <c r="K223" s="185">
        <f t="shared" si="103"/>
        <v>0</v>
      </c>
      <c r="L223" s="185">
        <f t="shared" si="103"/>
        <v>0</v>
      </c>
      <c r="M223" s="185">
        <f t="shared" si="103"/>
        <v>0</v>
      </c>
      <c r="N223" s="185">
        <f t="shared" si="103"/>
        <v>0</v>
      </c>
      <c r="O223" s="185">
        <f t="shared" si="103"/>
        <v>0</v>
      </c>
      <c r="P223" s="185">
        <f t="shared" si="103"/>
        <v>0</v>
      </c>
      <c r="Q223" s="185">
        <f t="shared" si="103"/>
        <v>0</v>
      </c>
      <c r="R223" s="185">
        <f t="shared" si="103"/>
        <v>0</v>
      </c>
      <c r="S223" s="185">
        <f t="shared" si="103"/>
        <v>0</v>
      </c>
      <c r="T223" s="185">
        <f t="shared" si="103"/>
        <v>0</v>
      </c>
      <c r="U223" s="185">
        <f t="shared" si="103"/>
        <v>0</v>
      </c>
      <c r="V223" s="185">
        <f t="shared" si="103"/>
        <v>0</v>
      </c>
      <c r="W223" s="185">
        <f t="shared" si="103"/>
        <v>0</v>
      </c>
      <c r="X223" s="185">
        <f t="shared" si="103"/>
        <v>0</v>
      </c>
      <c r="Y223" s="185">
        <f t="shared" si="103"/>
        <v>0</v>
      </c>
      <c r="Z223" s="185">
        <f t="shared" si="103"/>
        <v>0</v>
      </c>
      <c r="AA223" s="185">
        <f t="shared" si="103"/>
        <v>0</v>
      </c>
      <c r="AB223" s="185">
        <f t="shared" si="103"/>
        <v>0</v>
      </c>
      <c r="AC223" s="185">
        <f t="shared" si="103"/>
        <v>0</v>
      </c>
      <c r="AD223" s="185">
        <f t="shared" si="103"/>
        <v>0</v>
      </c>
      <c r="AE223" s="185">
        <f t="shared" si="103"/>
        <v>0</v>
      </c>
      <c r="AF223" s="185">
        <f t="shared" si="103"/>
        <v>0</v>
      </c>
      <c r="AG223" s="185">
        <f t="shared" si="103"/>
        <v>0</v>
      </c>
      <c r="AH223" s="185">
        <f t="shared" si="103"/>
        <v>0</v>
      </c>
      <c r="AI223" s="185">
        <f t="shared" si="103"/>
        <v>0</v>
      </c>
      <c r="AJ223" s="185">
        <f t="shared" si="103"/>
        <v>0</v>
      </c>
      <c r="AK223" s="185">
        <f t="shared" si="103"/>
        <v>0</v>
      </c>
      <c r="AL223" s="186">
        <f t="shared" si="103"/>
        <v>0</v>
      </c>
      <c r="AM223" s="147"/>
    </row>
    <row r="224" spans="2:39" ht="15" hidden="1" outlineLevel="2">
      <c r="B224" s="161"/>
      <c r="C224" s="161"/>
      <c r="D224" s="170" t="s">
        <v>35</v>
      </c>
      <c r="E224" s="193">
        <f>+E19</f>
        <v>532340</v>
      </c>
      <c r="F224" s="194">
        <f>+F19</f>
        <v>2242706</v>
      </c>
      <c r="G224" s="194">
        <f>+G19</f>
        <v>11020603</v>
      </c>
      <c r="H224" s="195">
        <f>+H19</f>
        <v>10273157</v>
      </c>
      <c r="I224" s="187">
        <f>+I19</f>
        <v>17761198</v>
      </c>
      <c r="J224" s="188">
        <f aca="true" t="shared" si="104" ref="J224:AL224">+J19</f>
        <v>20119922</v>
      </c>
      <c r="K224" s="188">
        <f t="shared" si="104"/>
        <v>13600000</v>
      </c>
      <c r="L224" s="188">
        <f t="shared" si="104"/>
        <v>7500000</v>
      </c>
      <c r="M224" s="188">
        <f t="shared" si="104"/>
        <v>1660000</v>
      </c>
      <c r="N224" s="188">
        <f t="shared" si="104"/>
        <v>1660000</v>
      </c>
      <c r="O224" s="188">
        <f t="shared" si="104"/>
        <v>1160000</v>
      </c>
      <c r="P224" s="188">
        <f t="shared" si="104"/>
        <v>1160000</v>
      </c>
      <c r="Q224" s="188">
        <f t="shared" si="104"/>
        <v>1160000</v>
      </c>
      <c r="R224" s="188">
        <f t="shared" si="104"/>
        <v>1160000</v>
      </c>
      <c r="S224" s="188">
        <f t="shared" si="104"/>
        <v>1160000</v>
      </c>
      <c r="T224" s="188">
        <f t="shared" si="104"/>
        <v>1160000</v>
      </c>
      <c r="U224" s="188">
        <f t="shared" si="104"/>
        <v>1160000</v>
      </c>
      <c r="V224" s="188">
        <f t="shared" si="104"/>
        <v>1160000</v>
      </c>
      <c r="W224" s="188">
        <f t="shared" si="104"/>
        <v>0</v>
      </c>
      <c r="X224" s="188">
        <f t="shared" si="104"/>
        <v>0</v>
      </c>
      <c r="Y224" s="188">
        <f t="shared" si="104"/>
        <v>0</v>
      </c>
      <c r="Z224" s="188">
        <f t="shared" si="104"/>
        <v>0</v>
      </c>
      <c r="AA224" s="188">
        <f t="shared" si="104"/>
        <v>0</v>
      </c>
      <c r="AB224" s="188">
        <f t="shared" si="104"/>
        <v>0</v>
      </c>
      <c r="AC224" s="188">
        <f t="shared" si="104"/>
        <v>0</v>
      </c>
      <c r="AD224" s="188">
        <f t="shared" si="104"/>
        <v>0</v>
      </c>
      <c r="AE224" s="188">
        <f t="shared" si="104"/>
        <v>0</v>
      </c>
      <c r="AF224" s="188">
        <f t="shared" si="104"/>
        <v>0</v>
      </c>
      <c r="AG224" s="188">
        <f t="shared" si="104"/>
        <v>0</v>
      </c>
      <c r="AH224" s="188">
        <f t="shared" si="104"/>
        <v>0</v>
      </c>
      <c r="AI224" s="188">
        <f t="shared" si="104"/>
        <v>0</v>
      </c>
      <c r="AJ224" s="188">
        <f t="shared" si="104"/>
        <v>0</v>
      </c>
      <c r="AK224" s="188">
        <f t="shared" si="104"/>
        <v>0</v>
      </c>
      <c r="AL224" s="189">
        <f t="shared" si="104"/>
        <v>0</v>
      </c>
      <c r="AM224" s="147"/>
    </row>
    <row r="225" spans="2:39" ht="14.25" hidden="1" outlineLevel="2">
      <c r="B225" s="229"/>
      <c r="C225" s="229"/>
      <c r="D225" s="162" t="s">
        <v>21</v>
      </c>
      <c r="E225" s="181">
        <f>+E21</f>
        <v>76238824</v>
      </c>
      <c r="F225" s="182">
        <f>+F21</f>
        <v>81534270</v>
      </c>
      <c r="G225" s="182">
        <f>+G21</f>
        <v>101163750</v>
      </c>
      <c r="H225" s="183">
        <f>+H21</f>
        <v>94986416</v>
      </c>
      <c r="I225" s="237">
        <f>+I21</f>
        <v>105001400</v>
      </c>
      <c r="J225" s="238">
        <f aca="true" t="shared" si="105" ref="J225:AL225">+J21</f>
        <v>93048907</v>
      </c>
      <c r="K225" s="238">
        <f t="shared" si="105"/>
        <v>89654325</v>
      </c>
      <c r="L225" s="238">
        <f t="shared" si="105"/>
        <v>84354737</v>
      </c>
      <c r="M225" s="238">
        <f t="shared" si="105"/>
        <v>79453580</v>
      </c>
      <c r="N225" s="238">
        <f t="shared" si="105"/>
        <v>80347735</v>
      </c>
      <c r="O225" s="238">
        <f t="shared" si="105"/>
        <v>80839242</v>
      </c>
      <c r="P225" s="238">
        <f t="shared" si="105"/>
        <v>81778948</v>
      </c>
      <c r="Q225" s="238">
        <f t="shared" si="105"/>
        <v>82720017</v>
      </c>
      <c r="R225" s="238">
        <f t="shared" si="105"/>
        <v>83658813</v>
      </c>
      <c r="S225" s="238">
        <f t="shared" si="105"/>
        <v>84625063</v>
      </c>
      <c r="T225" s="238">
        <f t="shared" si="105"/>
        <v>85591321</v>
      </c>
      <c r="U225" s="238">
        <f t="shared" si="105"/>
        <v>88160000</v>
      </c>
      <c r="V225" s="238">
        <f t="shared" si="105"/>
        <v>89160000</v>
      </c>
      <c r="W225" s="238">
        <f t="shared" si="105"/>
        <v>0</v>
      </c>
      <c r="X225" s="238">
        <f t="shared" si="105"/>
        <v>0</v>
      </c>
      <c r="Y225" s="238">
        <f t="shared" si="105"/>
        <v>0</v>
      </c>
      <c r="Z225" s="238">
        <f t="shared" si="105"/>
        <v>0</v>
      </c>
      <c r="AA225" s="238">
        <f t="shared" si="105"/>
        <v>0</v>
      </c>
      <c r="AB225" s="238">
        <f t="shared" si="105"/>
        <v>0</v>
      </c>
      <c r="AC225" s="238">
        <f t="shared" si="105"/>
        <v>0</v>
      </c>
      <c r="AD225" s="238">
        <f t="shared" si="105"/>
        <v>0</v>
      </c>
      <c r="AE225" s="238">
        <f t="shared" si="105"/>
        <v>0</v>
      </c>
      <c r="AF225" s="238">
        <f t="shared" si="105"/>
        <v>0</v>
      </c>
      <c r="AG225" s="238">
        <f t="shared" si="105"/>
        <v>0</v>
      </c>
      <c r="AH225" s="238">
        <f t="shared" si="105"/>
        <v>0</v>
      </c>
      <c r="AI225" s="238">
        <f t="shared" si="105"/>
        <v>0</v>
      </c>
      <c r="AJ225" s="238">
        <f t="shared" si="105"/>
        <v>0</v>
      </c>
      <c r="AK225" s="238">
        <f t="shared" si="105"/>
        <v>0</v>
      </c>
      <c r="AL225" s="239">
        <f t="shared" si="105"/>
        <v>0</v>
      </c>
      <c r="AM225" s="233"/>
    </row>
    <row r="226" spans="2:39" ht="15" hidden="1" outlineLevel="2">
      <c r="B226" s="161"/>
      <c r="C226" s="161"/>
      <c r="D226" s="174" t="s">
        <v>384</v>
      </c>
      <c r="E226" s="190">
        <f>+E21-E83-E86</f>
        <v>69477236</v>
      </c>
      <c r="F226" s="191">
        <f>+F21-F83-F86</f>
        <v>77207705</v>
      </c>
      <c r="G226" s="191">
        <f>+G21-G83-G86</f>
        <v>99903846</v>
      </c>
      <c r="H226" s="192">
        <f>+H21-H83-H86</f>
        <v>93876706</v>
      </c>
      <c r="I226" s="184">
        <f>+I21-I83-I86</f>
        <v>103952596</v>
      </c>
      <c r="J226" s="185">
        <f aca="true" t="shared" si="106" ref="J226:AL226">+J21-J83-J86</f>
        <v>92369277</v>
      </c>
      <c r="K226" s="185">
        <f t="shared" si="106"/>
        <v>89513675</v>
      </c>
      <c r="L226" s="185">
        <f t="shared" si="106"/>
        <v>84354737</v>
      </c>
      <c r="M226" s="185">
        <f t="shared" si="106"/>
        <v>79453580</v>
      </c>
      <c r="N226" s="185">
        <f t="shared" si="106"/>
        <v>80347735</v>
      </c>
      <c r="O226" s="185">
        <f t="shared" si="106"/>
        <v>80839242</v>
      </c>
      <c r="P226" s="185">
        <f t="shared" si="106"/>
        <v>81778948</v>
      </c>
      <c r="Q226" s="185">
        <f t="shared" si="106"/>
        <v>82720017</v>
      </c>
      <c r="R226" s="185">
        <f t="shared" si="106"/>
        <v>83658813</v>
      </c>
      <c r="S226" s="185">
        <f t="shared" si="106"/>
        <v>84625063</v>
      </c>
      <c r="T226" s="185">
        <f t="shared" si="106"/>
        <v>85591321</v>
      </c>
      <c r="U226" s="185">
        <f t="shared" si="106"/>
        <v>88160000</v>
      </c>
      <c r="V226" s="185">
        <f t="shared" si="106"/>
        <v>89160000</v>
      </c>
      <c r="W226" s="185">
        <f t="shared" si="106"/>
        <v>0</v>
      </c>
      <c r="X226" s="185">
        <f t="shared" si="106"/>
        <v>0</v>
      </c>
      <c r="Y226" s="185">
        <f t="shared" si="106"/>
        <v>0</v>
      </c>
      <c r="Z226" s="185">
        <f t="shared" si="106"/>
        <v>0</v>
      </c>
      <c r="AA226" s="185">
        <f t="shared" si="106"/>
        <v>0</v>
      </c>
      <c r="AB226" s="185">
        <f t="shared" si="106"/>
        <v>0</v>
      </c>
      <c r="AC226" s="185">
        <f t="shared" si="106"/>
        <v>0</v>
      </c>
      <c r="AD226" s="185">
        <f t="shared" si="106"/>
        <v>0</v>
      </c>
      <c r="AE226" s="185">
        <f t="shared" si="106"/>
        <v>0</v>
      </c>
      <c r="AF226" s="185">
        <f t="shared" si="106"/>
        <v>0</v>
      </c>
      <c r="AG226" s="185">
        <f t="shared" si="106"/>
        <v>0</v>
      </c>
      <c r="AH226" s="185">
        <f t="shared" si="106"/>
        <v>0</v>
      </c>
      <c r="AI226" s="185">
        <f t="shared" si="106"/>
        <v>0</v>
      </c>
      <c r="AJ226" s="185">
        <f t="shared" si="106"/>
        <v>0</v>
      </c>
      <c r="AK226" s="185">
        <f t="shared" si="106"/>
        <v>0</v>
      </c>
      <c r="AL226" s="186">
        <f t="shared" si="106"/>
        <v>0</v>
      </c>
      <c r="AM226" s="147"/>
    </row>
    <row r="227" spans="2:39" ht="14.25" hidden="1" outlineLevel="2">
      <c r="B227" s="229"/>
      <c r="C227" s="229"/>
      <c r="D227" s="175" t="s">
        <v>36</v>
      </c>
      <c r="E227" s="218">
        <f>+E22</f>
        <v>68965429</v>
      </c>
      <c r="F227" s="219">
        <f>+F22</f>
        <v>74990877</v>
      </c>
      <c r="G227" s="219">
        <f>+G22</f>
        <v>75953060</v>
      </c>
      <c r="H227" s="220">
        <f>+H22</f>
        <v>71079775</v>
      </c>
      <c r="I227" s="240">
        <f>+I22</f>
        <v>85023445</v>
      </c>
      <c r="J227" s="241">
        <f aca="true" t="shared" si="107" ref="J227:AL227">+J22</f>
        <v>77146504</v>
      </c>
      <c r="K227" s="241">
        <f t="shared" si="107"/>
        <v>76451922</v>
      </c>
      <c r="L227" s="241">
        <f t="shared" si="107"/>
        <v>77354737</v>
      </c>
      <c r="M227" s="241">
        <f t="shared" si="107"/>
        <v>78293580</v>
      </c>
      <c r="N227" s="241">
        <f t="shared" si="107"/>
        <v>79187735</v>
      </c>
      <c r="O227" s="241">
        <f t="shared" si="107"/>
        <v>80179242</v>
      </c>
      <c r="P227" s="241">
        <f t="shared" si="107"/>
        <v>81118948</v>
      </c>
      <c r="Q227" s="241">
        <f t="shared" si="107"/>
        <v>82060017</v>
      </c>
      <c r="R227" s="241">
        <f t="shared" si="107"/>
        <v>82998813</v>
      </c>
      <c r="S227" s="241">
        <f t="shared" si="107"/>
        <v>83965063</v>
      </c>
      <c r="T227" s="241">
        <f t="shared" si="107"/>
        <v>84931321</v>
      </c>
      <c r="U227" s="241">
        <f t="shared" si="107"/>
        <v>87500000</v>
      </c>
      <c r="V227" s="241">
        <f t="shared" si="107"/>
        <v>88500000</v>
      </c>
      <c r="W227" s="241">
        <f t="shared" si="107"/>
        <v>0</v>
      </c>
      <c r="X227" s="241">
        <f t="shared" si="107"/>
        <v>0</v>
      </c>
      <c r="Y227" s="241">
        <f t="shared" si="107"/>
        <v>0</v>
      </c>
      <c r="Z227" s="241">
        <f t="shared" si="107"/>
        <v>0</v>
      </c>
      <c r="AA227" s="241">
        <f t="shared" si="107"/>
        <v>0</v>
      </c>
      <c r="AB227" s="241">
        <f t="shared" si="107"/>
        <v>0</v>
      </c>
      <c r="AC227" s="241">
        <f t="shared" si="107"/>
        <v>0</v>
      </c>
      <c r="AD227" s="241">
        <f t="shared" si="107"/>
        <v>0</v>
      </c>
      <c r="AE227" s="241">
        <f t="shared" si="107"/>
        <v>0</v>
      </c>
      <c r="AF227" s="241">
        <f t="shared" si="107"/>
        <v>0</v>
      </c>
      <c r="AG227" s="241">
        <f t="shared" si="107"/>
        <v>0</v>
      </c>
      <c r="AH227" s="241">
        <f t="shared" si="107"/>
        <v>0</v>
      </c>
      <c r="AI227" s="241">
        <f t="shared" si="107"/>
        <v>0</v>
      </c>
      <c r="AJ227" s="241">
        <f t="shared" si="107"/>
        <v>0</v>
      </c>
      <c r="AK227" s="241">
        <f t="shared" si="107"/>
        <v>0</v>
      </c>
      <c r="AL227" s="242">
        <f t="shared" si="107"/>
        <v>0</v>
      </c>
      <c r="AM227" s="233"/>
    </row>
    <row r="228" spans="2:39" ht="15" hidden="1" outlineLevel="2">
      <c r="B228" s="161"/>
      <c r="C228" s="161"/>
      <c r="D228" s="169" t="s">
        <v>38</v>
      </c>
      <c r="E228" s="190">
        <f>+E22-E83</f>
        <v>68656339</v>
      </c>
      <c r="F228" s="191">
        <f>+F22-F83</f>
        <v>74806597</v>
      </c>
      <c r="G228" s="191">
        <f>+G22-G83</f>
        <v>75212055</v>
      </c>
      <c r="H228" s="192">
        <f>+H22-H83</f>
        <v>70472929</v>
      </c>
      <c r="I228" s="184">
        <f>+I22-I83</f>
        <v>84230914</v>
      </c>
      <c r="J228" s="185">
        <f aca="true" t="shared" si="108" ref="J228:AL228">+J22-J83</f>
        <v>76466874</v>
      </c>
      <c r="K228" s="185">
        <f t="shared" si="108"/>
        <v>76311272</v>
      </c>
      <c r="L228" s="185">
        <f t="shared" si="108"/>
        <v>77354737</v>
      </c>
      <c r="M228" s="185">
        <f t="shared" si="108"/>
        <v>78293580</v>
      </c>
      <c r="N228" s="185">
        <f t="shared" si="108"/>
        <v>79187735</v>
      </c>
      <c r="O228" s="185">
        <f t="shared" si="108"/>
        <v>80179242</v>
      </c>
      <c r="P228" s="185">
        <f t="shared" si="108"/>
        <v>81118948</v>
      </c>
      <c r="Q228" s="185">
        <f t="shared" si="108"/>
        <v>82060017</v>
      </c>
      <c r="R228" s="185">
        <f t="shared" si="108"/>
        <v>82998813</v>
      </c>
      <c r="S228" s="185">
        <f t="shared" si="108"/>
        <v>83965063</v>
      </c>
      <c r="T228" s="185">
        <f t="shared" si="108"/>
        <v>84931321</v>
      </c>
      <c r="U228" s="185">
        <f t="shared" si="108"/>
        <v>87500000</v>
      </c>
      <c r="V228" s="185">
        <f t="shared" si="108"/>
        <v>88500000</v>
      </c>
      <c r="W228" s="185">
        <f t="shared" si="108"/>
        <v>0</v>
      </c>
      <c r="X228" s="185">
        <f t="shared" si="108"/>
        <v>0</v>
      </c>
      <c r="Y228" s="185">
        <f t="shared" si="108"/>
        <v>0</v>
      </c>
      <c r="Z228" s="185">
        <f t="shared" si="108"/>
        <v>0</v>
      </c>
      <c r="AA228" s="185">
        <f t="shared" si="108"/>
        <v>0</v>
      </c>
      <c r="AB228" s="185">
        <f t="shared" si="108"/>
        <v>0</v>
      </c>
      <c r="AC228" s="185">
        <f t="shared" si="108"/>
        <v>0</v>
      </c>
      <c r="AD228" s="185">
        <f t="shared" si="108"/>
        <v>0</v>
      </c>
      <c r="AE228" s="185">
        <f t="shared" si="108"/>
        <v>0</v>
      </c>
      <c r="AF228" s="185">
        <f t="shared" si="108"/>
        <v>0</v>
      </c>
      <c r="AG228" s="185">
        <f t="shared" si="108"/>
        <v>0</v>
      </c>
      <c r="AH228" s="185">
        <f t="shared" si="108"/>
        <v>0</v>
      </c>
      <c r="AI228" s="185">
        <f t="shared" si="108"/>
        <v>0</v>
      </c>
      <c r="AJ228" s="185">
        <f t="shared" si="108"/>
        <v>0</v>
      </c>
      <c r="AK228" s="185">
        <f t="shared" si="108"/>
        <v>0</v>
      </c>
      <c r="AL228" s="186">
        <f t="shared" si="108"/>
        <v>0</v>
      </c>
      <c r="AM228" s="147"/>
    </row>
    <row r="229" spans="2:39" ht="15" hidden="1" outlineLevel="2">
      <c r="B229" s="161"/>
      <c r="C229" s="161"/>
      <c r="D229" s="169" t="s">
        <v>37</v>
      </c>
      <c r="E229" s="190">
        <f>+E68</f>
        <v>24634450</v>
      </c>
      <c r="F229" s="191">
        <f>+F68</f>
        <v>26238965</v>
      </c>
      <c r="G229" s="191">
        <f>+G68</f>
        <v>28695601</v>
      </c>
      <c r="H229" s="192">
        <f>+H68</f>
        <v>28218578</v>
      </c>
      <c r="I229" s="184">
        <f>+I68</f>
        <v>30747661</v>
      </c>
      <c r="J229" s="185">
        <f aca="true" t="shared" si="109" ref="J229:AL229">+J68</f>
        <v>30800000</v>
      </c>
      <c r="K229" s="185">
        <f t="shared" si="109"/>
        <v>30900000</v>
      </c>
      <c r="L229" s="185">
        <f t="shared" si="109"/>
        <v>31000000</v>
      </c>
      <c r="M229" s="185">
        <f t="shared" si="109"/>
        <v>31200000</v>
      </c>
      <c r="N229" s="185">
        <f t="shared" si="109"/>
        <v>31800000</v>
      </c>
      <c r="O229" s="185">
        <f t="shared" si="109"/>
        <v>32400000</v>
      </c>
      <c r="P229" s="185">
        <f t="shared" si="109"/>
        <v>33000000</v>
      </c>
      <c r="Q229" s="185">
        <f t="shared" si="109"/>
        <v>33600000</v>
      </c>
      <c r="R229" s="185">
        <f t="shared" si="109"/>
        <v>34200000</v>
      </c>
      <c r="S229" s="185">
        <f t="shared" si="109"/>
        <v>34800000</v>
      </c>
      <c r="T229" s="185">
        <f t="shared" si="109"/>
        <v>35400000</v>
      </c>
      <c r="U229" s="185">
        <f t="shared" si="109"/>
        <v>36000000</v>
      </c>
      <c r="V229" s="185">
        <f t="shared" si="109"/>
        <v>36600000</v>
      </c>
      <c r="W229" s="185">
        <f t="shared" si="109"/>
        <v>0</v>
      </c>
      <c r="X229" s="185">
        <f t="shared" si="109"/>
        <v>0</v>
      </c>
      <c r="Y229" s="185">
        <f t="shared" si="109"/>
        <v>0</v>
      </c>
      <c r="Z229" s="185">
        <f t="shared" si="109"/>
        <v>0</v>
      </c>
      <c r="AA229" s="185">
        <f t="shared" si="109"/>
        <v>0</v>
      </c>
      <c r="AB229" s="185">
        <f t="shared" si="109"/>
        <v>0</v>
      </c>
      <c r="AC229" s="185">
        <f t="shared" si="109"/>
        <v>0</v>
      </c>
      <c r="AD229" s="185">
        <f t="shared" si="109"/>
        <v>0</v>
      </c>
      <c r="AE229" s="185">
        <f t="shared" si="109"/>
        <v>0</v>
      </c>
      <c r="AF229" s="185">
        <f t="shared" si="109"/>
        <v>0</v>
      </c>
      <c r="AG229" s="185">
        <f t="shared" si="109"/>
        <v>0</v>
      </c>
      <c r="AH229" s="185">
        <f t="shared" si="109"/>
        <v>0</v>
      </c>
      <c r="AI229" s="185">
        <f t="shared" si="109"/>
        <v>0</v>
      </c>
      <c r="AJ229" s="185">
        <f t="shared" si="109"/>
        <v>0</v>
      </c>
      <c r="AK229" s="185">
        <f t="shared" si="109"/>
        <v>0</v>
      </c>
      <c r="AL229" s="186">
        <f t="shared" si="109"/>
        <v>0</v>
      </c>
      <c r="AM229" s="147"/>
    </row>
    <row r="230" spans="2:39" ht="24" hidden="1" outlineLevel="2">
      <c r="B230" s="161"/>
      <c r="C230" s="161"/>
      <c r="D230" s="170" t="s">
        <v>383</v>
      </c>
      <c r="E230" s="193">
        <f>+E22-E23-E26-E68-E69</f>
        <v>28119607</v>
      </c>
      <c r="F230" s="194">
        <f>+F22-F23-F26-F68-F69</f>
        <v>36465481</v>
      </c>
      <c r="G230" s="194">
        <f>+G22-G23-G26-G68-G69</f>
        <v>33810260</v>
      </c>
      <c r="H230" s="195">
        <f>+H22-H23-H26-H68-H69</f>
        <v>30221513</v>
      </c>
      <c r="I230" s="187">
        <f>+I22-I23-I26-I68-I69</f>
        <v>40564567</v>
      </c>
      <c r="J230" s="188">
        <f aca="true" t="shared" si="110" ref="J230:AL230">+J22-J23-J26-J68-J69</f>
        <v>32909589</v>
      </c>
      <c r="K230" s="188">
        <f t="shared" si="110"/>
        <v>32199018</v>
      </c>
      <c r="L230" s="188">
        <f t="shared" si="110"/>
        <v>33145085</v>
      </c>
      <c r="M230" s="188">
        <f t="shared" si="110"/>
        <v>33924981</v>
      </c>
      <c r="N230" s="188">
        <f t="shared" si="110"/>
        <v>34260074</v>
      </c>
      <c r="O230" s="188">
        <f t="shared" si="110"/>
        <v>34692528</v>
      </c>
      <c r="P230" s="188">
        <f t="shared" si="110"/>
        <v>35073090</v>
      </c>
      <c r="Q230" s="188">
        <f t="shared" si="110"/>
        <v>35455204</v>
      </c>
      <c r="R230" s="188">
        <f t="shared" si="110"/>
        <v>35837162</v>
      </c>
      <c r="S230" s="188">
        <f t="shared" si="110"/>
        <v>36226444</v>
      </c>
      <c r="T230" s="188">
        <f t="shared" si="110"/>
        <v>36643764</v>
      </c>
      <c r="U230" s="188">
        <f t="shared" si="110"/>
        <v>38597969</v>
      </c>
      <c r="V230" s="188">
        <f t="shared" si="110"/>
        <v>38881719</v>
      </c>
      <c r="W230" s="188">
        <f t="shared" si="110"/>
        <v>0</v>
      </c>
      <c r="X230" s="188">
        <f t="shared" si="110"/>
        <v>0</v>
      </c>
      <c r="Y230" s="188">
        <f t="shared" si="110"/>
        <v>0</v>
      </c>
      <c r="Z230" s="188">
        <f t="shared" si="110"/>
        <v>0</v>
      </c>
      <c r="AA230" s="188">
        <f t="shared" si="110"/>
        <v>0</v>
      </c>
      <c r="AB230" s="188">
        <f t="shared" si="110"/>
        <v>0</v>
      </c>
      <c r="AC230" s="188">
        <f t="shared" si="110"/>
        <v>0</v>
      </c>
      <c r="AD230" s="188">
        <f t="shared" si="110"/>
        <v>0</v>
      </c>
      <c r="AE230" s="188">
        <f t="shared" si="110"/>
        <v>0</v>
      </c>
      <c r="AF230" s="188">
        <f t="shared" si="110"/>
        <v>0</v>
      </c>
      <c r="AG230" s="188">
        <f t="shared" si="110"/>
        <v>0</v>
      </c>
      <c r="AH230" s="188">
        <f t="shared" si="110"/>
        <v>0</v>
      </c>
      <c r="AI230" s="188">
        <f t="shared" si="110"/>
        <v>0</v>
      </c>
      <c r="AJ230" s="188">
        <f t="shared" si="110"/>
        <v>0</v>
      </c>
      <c r="AK230" s="188">
        <f t="shared" si="110"/>
        <v>0</v>
      </c>
      <c r="AL230" s="189">
        <f t="shared" si="110"/>
        <v>0</v>
      </c>
      <c r="AM230" s="147"/>
    </row>
    <row r="231" spans="4:38" ht="14.25" hidden="1" outlineLevel="2">
      <c r="D231" s="24"/>
      <c r="E231" s="82"/>
      <c r="F231" s="82"/>
      <c r="G231" s="82"/>
      <c r="H231" s="82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4:8" ht="14.25" hidden="1" outlineLevel="1">
      <c r="D232" s="260" t="s">
        <v>416</v>
      </c>
      <c r="E232" s="79"/>
      <c r="F232" s="79"/>
      <c r="G232" s="341" t="s">
        <v>445</v>
      </c>
      <c r="H232" s="341" t="s">
        <v>447</v>
      </c>
    </row>
    <row r="233" spans="2:39" ht="15" hidden="1" outlineLevel="2">
      <c r="B233" s="243"/>
      <c r="C233" s="243"/>
      <c r="D233" s="8" t="s">
        <v>26</v>
      </c>
      <c r="E233" s="320" t="s">
        <v>402</v>
      </c>
      <c r="F233" s="108">
        <f aca="true" t="shared" si="111" ref="F233:I234">+IF(E10&lt;&gt;0,F10/E10,"-")</f>
        <v>0.9845936451203813</v>
      </c>
      <c r="G233" s="108">
        <f t="shared" si="111"/>
        <v>1.104821567285288</v>
      </c>
      <c r="H233" s="109">
        <f>+IF(F10&lt;&gt;0,H10/F10,"-")</f>
        <v>1.1199155931215847</v>
      </c>
      <c r="I233" s="96">
        <f t="shared" si="111"/>
        <v>1.1764226886837967</v>
      </c>
      <c r="J233" s="97">
        <f aca="true" t="shared" si="112" ref="J233:AL233">+IF(I10&lt;&gt;0,J10/I10,"-")</f>
        <v>0.906804553403817</v>
      </c>
      <c r="K233" s="97">
        <f t="shared" si="112"/>
        <v>0.9464636572757797</v>
      </c>
      <c r="L233" s="97">
        <f t="shared" si="112"/>
        <v>0.9424933301726078</v>
      </c>
      <c r="M233" s="97">
        <f t="shared" si="112"/>
        <v>0.94357176845893</v>
      </c>
      <c r="N233" s="97">
        <f t="shared" si="112"/>
        <v>1.0109102749689944</v>
      </c>
      <c r="O233" s="97">
        <f t="shared" si="112"/>
        <v>1.0059325305504678</v>
      </c>
      <c r="P233" s="97">
        <f t="shared" si="112"/>
        <v>1.0112754380423314</v>
      </c>
      <c r="Q233" s="97">
        <f t="shared" si="112"/>
        <v>1.011165868486516</v>
      </c>
      <c r="R233" s="97">
        <f t="shared" si="112"/>
        <v>1.0069411038130782</v>
      </c>
      <c r="S233" s="97">
        <f t="shared" si="112"/>
        <v>1.0112599120875008</v>
      </c>
      <c r="T233" s="97">
        <f t="shared" si="112"/>
        <v>1.01113453816661</v>
      </c>
      <c r="U233" s="97">
        <f t="shared" si="112"/>
        <v>1.0104189510832435</v>
      </c>
      <c r="V233" s="97">
        <f t="shared" si="112"/>
        <v>1.011279043537108</v>
      </c>
      <c r="W233" s="97">
        <f t="shared" si="112"/>
        <v>0</v>
      </c>
      <c r="X233" s="97" t="str">
        <f t="shared" si="112"/>
        <v>-</v>
      </c>
      <c r="Y233" s="97" t="str">
        <f t="shared" si="112"/>
        <v>-</v>
      </c>
      <c r="Z233" s="97" t="str">
        <f t="shared" si="112"/>
        <v>-</v>
      </c>
      <c r="AA233" s="97" t="str">
        <f t="shared" si="112"/>
        <v>-</v>
      </c>
      <c r="AB233" s="97" t="str">
        <f t="shared" si="112"/>
        <v>-</v>
      </c>
      <c r="AC233" s="97" t="str">
        <f t="shared" si="112"/>
        <v>-</v>
      </c>
      <c r="AD233" s="97" t="str">
        <f t="shared" si="112"/>
        <v>-</v>
      </c>
      <c r="AE233" s="97" t="str">
        <f t="shared" si="112"/>
        <v>-</v>
      </c>
      <c r="AF233" s="97" t="str">
        <f t="shared" si="112"/>
        <v>-</v>
      </c>
      <c r="AG233" s="97" t="str">
        <f t="shared" si="112"/>
        <v>-</v>
      </c>
      <c r="AH233" s="97" t="str">
        <f t="shared" si="112"/>
        <v>-</v>
      </c>
      <c r="AI233" s="97" t="str">
        <f t="shared" si="112"/>
        <v>-</v>
      </c>
      <c r="AJ233" s="97" t="str">
        <f t="shared" si="112"/>
        <v>-</v>
      </c>
      <c r="AK233" s="97" t="str">
        <f t="shared" si="112"/>
        <v>-</v>
      </c>
      <c r="AL233" s="98" t="str">
        <f t="shared" si="112"/>
        <v>-</v>
      </c>
      <c r="AM233" s="42"/>
    </row>
    <row r="234" spans="4:38" ht="14.25" hidden="1" outlineLevel="2">
      <c r="D234" s="9" t="s">
        <v>223</v>
      </c>
      <c r="E234" s="321" t="s">
        <v>402</v>
      </c>
      <c r="F234" s="110">
        <f t="shared" si="111"/>
        <v>1.0352405461940273</v>
      </c>
      <c r="G234" s="110">
        <f t="shared" si="111"/>
        <v>1.0165763396025627</v>
      </c>
      <c r="H234" s="111">
        <f>+IF(F11&lt;&gt;0,H11/F11,"-")</f>
        <v>1.036567221934711</v>
      </c>
      <c r="I234" s="99">
        <f t="shared" si="111"/>
        <v>1.0719008689298801</v>
      </c>
      <c r="J234" s="100">
        <f aca="true" t="shared" si="113" ref="J234:AL234">+IF(I11&lt;&gt;0,J11/I11,"-")</f>
        <v>0.9275478686611578</v>
      </c>
      <c r="K234" s="100">
        <f t="shared" si="113"/>
        <v>1.0169212879607474</v>
      </c>
      <c r="L234" s="100">
        <f t="shared" si="113"/>
        <v>1.0101890550567088</v>
      </c>
      <c r="M234" s="100">
        <f t="shared" si="113"/>
        <v>1.0118307051712356</v>
      </c>
      <c r="N234" s="100">
        <f t="shared" si="113"/>
        <v>1.0111358305558882</v>
      </c>
      <c r="O234" s="100">
        <f t="shared" si="113"/>
        <v>1.0122122613243383</v>
      </c>
      <c r="P234" s="100">
        <f t="shared" si="113"/>
        <v>1.011434592982135</v>
      </c>
      <c r="Q234" s="100">
        <f t="shared" si="113"/>
        <v>1.0113216950183552</v>
      </c>
      <c r="R234" s="100">
        <f t="shared" si="113"/>
        <v>1.0070368867418746</v>
      </c>
      <c r="S234" s="100">
        <f t="shared" si="113"/>
        <v>1.0114142061428193</v>
      </c>
      <c r="T234" s="100">
        <f t="shared" si="113"/>
        <v>1.0112853923481548</v>
      </c>
      <c r="U234" s="100">
        <f t="shared" si="113"/>
        <v>1.0105585350093453</v>
      </c>
      <c r="V234" s="100">
        <f t="shared" si="113"/>
        <v>1.0114285714285713</v>
      </c>
      <c r="W234" s="100">
        <f t="shared" si="113"/>
        <v>0</v>
      </c>
      <c r="X234" s="100" t="str">
        <f t="shared" si="113"/>
        <v>-</v>
      </c>
      <c r="Y234" s="100" t="str">
        <f t="shared" si="113"/>
        <v>-</v>
      </c>
      <c r="Z234" s="100" t="str">
        <f t="shared" si="113"/>
        <v>-</v>
      </c>
      <c r="AA234" s="100" t="str">
        <f t="shared" si="113"/>
        <v>-</v>
      </c>
      <c r="AB234" s="100" t="str">
        <f t="shared" si="113"/>
        <v>-</v>
      </c>
      <c r="AC234" s="100" t="str">
        <f t="shared" si="113"/>
        <v>-</v>
      </c>
      <c r="AD234" s="100" t="str">
        <f t="shared" si="113"/>
        <v>-</v>
      </c>
      <c r="AE234" s="100" t="str">
        <f t="shared" si="113"/>
        <v>-</v>
      </c>
      <c r="AF234" s="100" t="str">
        <f t="shared" si="113"/>
        <v>-</v>
      </c>
      <c r="AG234" s="100" t="str">
        <f t="shared" si="113"/>
        <v>-</v>
      </c>
      <c r="AH234" s="100" t="str">
        <f t="shared" si="113"/>
        <v>-</v>
      </c>
      <c r="AI234" s="100" t="str">
        <f t="shared" si="113"/>
        <v>-</v>
      </c>
      <c r="AJ234" s="100" t="str">
        <f t="shared" si="113"/>
        <v>-</v>
      </c>
      <c r="AK234" s="100" t="str">
        <f t="shared" si="113"/>
        <v>-</v>
      </c>
      <c r="AL234" s="101" t="str">
        <f t="shared" si="113"/>
        <v>-</v>
      </c>
    </row>
    <row r="235" spans="4:38" ht="24" hidden="1" outlineLevel="2">
      <c r="D235" s="10" t="s">
        <v>391</v>
      </c>
      <c r="E235" s="322" t="s">
        <v>402</v>
      </c>
      <c r="F235" s="112">
        <f>+IF((E77)&lt;&gt;0,(F77)/(E77),"-")</f>
        <v>0.46047753081626713</v>
      </c>
      <c r="G235" s="112">
        <f>+IF((F77)&lt;&gt;0,(G77)/(F77),"-")</f>
        <v>5.066065243204125</v>
      </c>
      <c r="H235" s="113">
        <f>+IF((F77)&lt;&gt;0,(H77)/(F77),"-")</f>
        <v>4.64453484532316</v>
      </c>
      <c r="I235" s="99">
        <f>+IF((H77)&lt;&gt;0,(I77)/(H77),"-")</f>
        <v>1.1988935817454602</v>
      </c>
      <c r="J235" s="100">
        <f aca="true" t="shared" si="114" ref="J235:AL235">+IF((I77)&lt;&gt;0,(J77)/(I77),"-")</f>
        <v>0.8575437427684217</v>
      </c>
      <c r="K235" s="100">
        <f t="shared" si="114"/>
        <v>0.20695084089872431</v>
      </c>
      <c r="L235" s="100">
        <f t="shared" si="114"/>
        <v>0</v>
      </c>
      <c r="M235" s="100" t="str">
        <f t="shared" si="114"/>
        <v>-</v>
      </c>
      <c r="N235" s="100" t="str">
        <f t="shared" si="114"/>
        <v>-</v>
      </c>
      <c r="O235" s="100" t="str">
        <f t="shared" si="114"/>
        <v>-</v>
      </c>
      <c r="P235" s="100" t="str">
        <f t="shared" si="114"/>
        <v>-</v>
      </c>
      <c r="Q235" s="100" t="str">
        <f t="shared" si="114"/>
        <v>-</v>
      </c>
      <c r="R235" s="100" t="str">
        <f t="shared" si="114"/>
        <v>-</v>
      </c>
      <c r="S235" s="100" t="str">
        <f t="shared" si="114"/>
        <v>-</v>
      </c>
      <c r="T235" s="100" t="str">
        <f t="shared" si="114"/>
        <v>-</v>
      </c>
      <c r="U235" s="100" t="str">
        <f t="shared" si="114"/>
        <v>-</v>
      </c>
      <c r="V235" s="100" t="str">
        <f t="shared" si="114"/>
        <v>-</v>
      </c>
      <c r="W235" s="100" t="str">
        <f t="shared" si="114"/>
        <v>-</v>
      </c>
      <c r="X235" s="100" t="str">
        <f t="shared" si="114"/>
        <v>-</v>
      </c>
      <c r="Y235" s="100" t="str">
        <f t="shared" si="114"/>
        <v>-</v>
      </c>
      <c r="Z235" s="100" t="str">
        <f t="shared" si="114"/>
        <v>-</v>
      </c>
      <c r="AA235" s="100" t="str">
        <f t="shared" si="114"/>
        <v>-</v>
      </c>
      <c r="AB235" s="100" t="str">
        <f t="shared" si="114"/>
        <v>-</v>
      </c>
      <c r="AC235" s="100" t="str">
        <f t="shared" si="114"/>
        <v>-</v>
      </c>
      <c r="AD235" s="100" t="str">
        <f t="shared" si="114"/>
        <v>-</v>
      </c>
      <c r="AE235" s="100" t="str">
        <f t="shared" si="114"/>
        <v>-</v>
      </c>
      <c r="AF235" s="100" t="str">
        <f t="shared" si="114"/>
        <v>-</v>
      </c>
      <c r="AG235" s="100" t="str">
        <f t="shared" si="114"/>
        <v>-</v>
      </c>
      <c r="AH235" s="100" t="str">
        <f t="shared" si="114"/>
        <v>-</v>
      </c>
      <c r="AI235" s="100" t="str">
        <f t="shared" si="114"/>
        <v>-</v>
      </c>
      <c r="AJ235" s="100" t="str">
        <f t="shared" si="114"/>
        <v>-</v>
      </c>
      <c r="AK235" s="100" t="str">
        <f t="shared" si="114"/>
        <v>-</v>
      </c>
      <c r="AL235" s="101" t="str">
        <f t="shared" si="114"/>
        <v>-</v>
      </c>
    </row>
    <row r="236" spans="4:38" ht="14.25" hidden="1" outlineLevel="2">
      <c r="D236" s="9" t="s">
        <v>29</v>
      </c>
      <c r="E236" s="321" t="s">
        <v>402</v>
      </c>
      <c r="F236" s="110">
        <f aca="true" t="shared" si="115" ref="F236:I237">+IF(E18&lt;&gt;0,F18/E18,"-")</f>
        <v>0.6310161056860681</v>
      </c>
      <c r="G236" s="110">
        <f t="shared" si="115"/>
        <v>2.115525251886263</v>
      </c>
      <c r="H236" s="111">
        <f>+IF(F18&lt;&gt;0,H18/F18,"-")</f>
        <v>2.0745338549378385</v>
      </c>
      <c r="I236" s="99">
        <f t="shared" si="115"/>
        <v>1.774581532597387</v>
      </c>
      <c r="J236" s="100">
        <f aca="true" t="shared" si="116" ref="J236:AL236">+IF(I18&lt;&gt;0,J18/I18,"-")</f>
        <v>0.8351000555019942</v>
      </c>
      <c r="K236" s="100">
        <f t="shared" si="116"/>
        <v>0.6759469544663245</v>
      </c>
      <c r="L236" s="100">
        <f t="shared" si="116"/>
        <v>0.5514705882352942</v>
      </c>
      <c r="M236" s="100">
        <f t="shared" si="116"/>
        <v>0.22133333333333333</v>
      </c>
      <c r="N236" s="100">
        <f t="shared" si="116"/>
        <v>1</v>
      </c>
      <c r="O236" s="100">
        <f t="shared" si="116"/>
        <v>0.6987951807228916</v>
      </c>
      <c r="P236" s="100">
        <f t="shared" si="116"/>
        <v>1</v>
      </c>
      <c r="Q236" s="100">
        <f t="shared" si="116"/>
        <v>1</v>
      </c>
      <c r="R236" s="100">
        <f t="shared" si="116"/>
        <v>1</v>
      </c>
      <c r="S236" s="100">
        <f t="shared" si="116"/>
        <v>1</v>
      </c>
      <c r="T236" s="100">
        <f t="shared" si="116"/>
        <v>1</v>
      </c>
      <c r="U236" s="100">
        <f t="shared" si="116"/>
        <v>1</v>
      </c>
      <c r="V236" s="100">
        <f t="shared" si="116"/>
        <v>1</v>
      </c>
      <c r="W236" s="100">
        <f t="shared" si="116"/>
        <v>0</v>
      </c>
      <c r="X236" s="100" t="str">
        <f t="shared" si="116"/>
        <v>-</v>
      </c>
      <c r="Y236" s="100" t="str">
        <f t="shared" si="116"/>
        <v>-</v>
      </c>
      <c r="Z236" s="100" t="str">
        <f t="shared" si="116"/>
        <v>-</v>
      </c>
      <c r="AA236" s="100" t="str">
        <f t="shared" si="116"/>
        <v>-</v>
      </c>
      <c r="AB236" s="100" t="str">
        <f t="shared" si="116"/>
        <v>-</v>
      </c>
      <c r="AC236" s="100" t="str">
        <f t="shared" si="116"/>
        <v>-</v>
      </c>
      <c r="AD236" s="100" t="str">
        <f t="shared" si="116"/>
        <v>-</v>
      </c>
      <c r="AE236" s="100" t="str">
        <f t="shared" si="116"/>
        <v>-</v>
      </c>
      <c r="AF236" s="100" t="str">
        <f t="shared" si="116"/>
        <v>-</v>
      </c>
      <c r="AG236" s="100" t="str">
        <f t="shared" si="116"/>
        <v>-</v>
      </c>
      <c r="AH236" s="100" t="str">
        <f t="shared" si="116"/>
        <v>-</v>
      </c>
      <c r="AI236" s="100" t="str">
        <f t="shared" si="116"/>
        <v>-</v>
      </c>
      <c r="AJ236" s="100" t="str">
        <f t="shared" si="116"/>
        <v>-</v>
      </c>
      <c r="AK236" s="100" t="str">
        <f t="shared" si="116"/>
        <v>-</v>
      </c>
      <c r="AL236" s="101" t="str">
        <f t="shared" si="116"/>
        <v>-</v>
      </c>
    </row>
    <row r="237" spans="4:38" ht="14.25" hidden="1" outlineLevel="2">
      <c r="D237" s="11" t="s">
        <v>30</v>
      </c>
      <c r="E237" s="321" t="s">
        <v>402</v>
      </c>
      <c r="F237" s="110">
        <f t="shared" si="115"/>
        <v>4.212920314084983</v>
      </c>
      <c r="G237" s="110">
        <f t="shared" si="115"/>
        <v>4.913975795311557</v>
      </c>
      <c r="H237" s="111">
        <f>+IF(F19&lt;&gt;0,H19/F19,"-")</f>
        <v>4.580697157808469</v>
      </c>
      <c r="I237" s="99">
        <f t="shared" si="115"/>
        <v>1.7288938541482428</v>
      </c>
      <c r="J237" s="100">
        <f aca="true" t="shared" si="117" ref="J237:AL237">+IF(I19&lt;&gt;0,J19/I19,"-")</f>
        <v>1.132802077877855</v>
      </c>
      <c r="K237" s="100">
        <f t="shared" si="117"/>
        <v>0.6759469544663245</v>
      </c>
      <c r="L237" s="100">
        <f t="shared" si="117"/>
        <v>0.5514705882352942</v>
      </c>
      <c r="M237" s="100">
        <f t="shared" si="117"/>
        <v>0.22133333333333333</v>
      </c>
      <c r="N237" s="100">
        <f t="shared" si="117"/>
        <v>1</v>
      </c>
      <c r="O237" s="100">
        <f t="shared" si="117"/>
        <v>0.6987951807228916</v>
      </c>
      <c r="P237" s="100">
        <f t="shared" si="117"/>
        <v>1</v>
      </c>
      <c r="Q237" s="100">
        <f t="shared" si="117"/>
        <v>1</v>
      </c>
      <c r="R237" s="100">
        <f t="shared" si="117"/>
        <v>1</v>
      </c>
      <c r="S237" s="100">
        <f t="shared" si="117"/>
        <v>1</v>
      </c>
      <c r="T237" s="100">
        <f t="shared" si="117"/>
        <v>1</v>
      </c>
      <c r="U237" s="100">
        <f t="shared" si="117"/>
        <v>1</v>
      </c>
      <c r="V237" s="100">
        <f t="shared" si="117"/>
        <v>1</v>
      </c>
      <c r="W237" s="100">
        <f t="shared" si="117"/>
        <v>0</v>
      </c>
      <c r="X237" s="100" t="str">
        <f t="shared" si="117"/>
        <v>-</v>
      </c>
      <c r="Y237" s="100" t="str">
        <f t="shared" si="117"/>
        <v>-</v>
      </c>
      <c r="Z237" s="100" t="str">
        <f t="shared" si="117"/>
        <v>-</v>
      </c>
      <c r="AA237" s="100" t="str">
        <f t="shared" si="117"/>
        <v>-</v>
      </c>
      <c r="AB237" s="100" t="str">
        <f t="shared" si="117"/>
        <v>-</v>
      </c>
      <c r="AC237" s="100" t="str">
        <f t="shared" si="117"/>
        <v>-</v>
      </c>
      <c r="AD237" s="100" t="str">
        <f t="shared" si="117"/>
        <v>-</v>
      </c>
      <c r="AE237" s="100" t="str">
        <f t="shared" si="117"/>
        <v>-</v>
      </c>
      <c r="AF237" s="100" t="str">
        <f t="shared" si="117"/>
        <v>-</v>
      </c>
      <c r="AG237" s="100" t="str">
        <f t="shared" si="117"/>
        <v>-</v>
      </c>
      <c r="AH237" s="100" t="str">
        <f t="shared" si="117"/>
        <v>-</v>
      </c>
      <c r="AI237" s="100" t="str">
        <f t="shared" si="117"/>
        <v>-</v>
      </c>
      <c r="AJ237" s="100" t="str">
        <f t="shared" si="117"/>
        <v>-</v>
      </c>
      <c r="AK237" s="100" t="str">
        <f t="shared" si="117"/>
        <v>-</v>
      </c>
      <c r="AL237" s="101" t="str">
        <f t="shared" si="117"/>
        <v>-</v>
      </c>
    </row>
    <row r="238" spans="4:38" ht="24" hidden="1" outlineLevel="2">
      <c r="D238" s="14" t="s">
        <v>391</v>
      </c>
      <c r="E238" s="323" t="s">
        <v>402</v>
      </c>
      <c r="F238" s="114">
        <f>+IF((E80)&lt;&gt;0,(F80)/(E80),"-")</f>
        <v>0.43052883845865064</v>
      </c>
      <c r="G238" s="114">
        <f>+IF((F80)&lt;&gt;0,(G80)/(F80),"-")</f>
        <v>0.1645920065857371</v>
      </c>
      <c r="H238" s="115">
        <f>+IF((F80)&lt;&gt;0,(H80)/(F80),"-")</f>
        <v>0.18270230078326335</v>
      </c>
      <c r="I238" s="102">
        <f>+IF((H80)&lt;&gt;0,(I80)/(H80),"-")</f>
        <v>0.33862487694980875</v>
      </c>
      <c r="J238" s="103">
        <f aca="true" t="shared" si="118" ref="J238:AL238">+IF((I80)&lt;&gt;0,(J80)/(I80),"-")</f>
        <v>0</v>
      </c>
      <c r="K238" s="103" t="str">
        <f t="shared" si="118"/>
        <v>-</v>
      </c>
      <c r="L238" s="103" t="str">
        <f t="shared" si="118"/>
        <v>-</v>
      </c>
      <c r="M238" s="103" t="str">
        <f t="shared" si="118"/>
        <v>-</v>
      </c>
      <c r="N238" s="103" t="str">
        <f t="shared" si="118"/>
        <v>-</v>
      </c>
      <c r="O238" s="103" t="str">
        <f t="shared" si="118"/>
        <v>-</v>
      </c>
      <c r="P238" s="103" t="str">
        <f t="shared" si="118"/>
        <v>-</v>
      </c>
      <c r="Q238" s="103" t="str">
        <f t="shared" si="118"/>
        <v>-</v>
      </c>
      <c r="R238" s="103" t="str">
        <f t="shared" si="118"/>
        <v>-</v>
      </c>
      <c r="S238" s="103" t="str">
        <f t="shared" si="118"/>
        <v>-</v>
      </c>
      <c r="T238" s="103" t="str">
        <f t="shared" si="118"/>
        <v>-</v>
      </c>
      <c r="U238" s="103" t="str">
        <f t="shared" si="118"/>
        <v>-</v>
      </c>
      <c r="V238" s="103" t="str">
        <f t="shared" si="118"/>
        <v>-</v>
      </c>
      <c r="W238" s="103" t="str">
        <f t="shared" si="118"/>
        <v>-</v>
      </c>
      <c r="X238" s="103" t="str">
        <f t="shared" si="118"/>
        <v>-</v>
      </c>
      <c r="Y238" s="103" t="str">
        <f t="shared" si="118"/>
        <v>-</v>
      </c>
      <c r="Z238" s="103" t="str">
        <f t="shared" si="118"/>
        <v>-</v>
      </c>
      <c r="AA238" s="103" t="str">
        <f t="shared" si="118"/>
        <v>-</v>
      </c>
      <c r="AB238" s="103" t="str">
        <f t="shared" si="118"/>
        <v>-</v>
      </c>
      <c r="AC238" s="103" t="str">
        <f t="shared" si="118"/>
        <v>-</v>
      </c>
      <c r="AD238" s="103" t="str">
        <f t="shared" si="118"/>
        <v>-</v>
      </c>
      <c r="AE238" s="103" t="str">
        <f t="shared" si="118"/>
        <v>-</v>
      </c>
      <c r="AF238" s="103" t="str">
        <f t="shared" si="118"/>
        <v>-</v>
      </c>
      <c r="AG238" s="103" t="str">
        <f t="shared" si="118"/>
        <v>-</v>
      </c>
      <c r="AH238" s="103" t="str">
        <f t="shared" si="118"/>
        <v>-</v>
      </c>
      <c r="AI238" s="103" t="str">
        <f t="shared" si="118"/>
        <v>-</v>
      </c>
      <c r="AJ238" s="103" t="str">
        <f t="shared" si="118"/>
        <v>-</v>
      </c>
      <c r="AK238" s="103" t="str">
        <f t="shared" si="118"/>
        <v>-</v>
      </c>
      <c r="AL238" s="104" t="str">
        <f t="shared" si="118"/>
        <v>-</v>
      </c>
    </row>
    <row r="239" spans="2:39" ht="15" hidden="1" outlineLevel="2">
      <c r="B239" s="243"/>
      <c r="C239" s="243"/>
      <c r="D239" s="8" t="s">
        <v>21</v>
      </c>
      <c r="E239" s="320" t="s">
        <v>402</v>
      </c>
      <c r="F239" s="108">
        <f aca="true" t="shared" si="119" ref="F239:I240">+IF(E21&lt;&gt;0,F21/E21,"-")</f>
        <v>1.0694586527200367</v>
      </c>
      <c r="G239" s="108">
        <f t="shared" si="119"/>
        <v>1.2407512816389967</v>
      </c>
      <c r="H239" s="109">
        <f>+IF(F21&lt;&gt;0,H21/F21,"-")</f>
        <v>1.1649876303546962</v>
      </c>
      <c r="I239" s="96">
        <f t="shared" si="119"/>
        <v>1.1054359604430175</v>
      </c>
      <c r="J239" s="97">
        <f aca="true" t="shared" si="120" ref="J239:AL239">+IF(I21&lt;&gt;0,J21/I21,"-")</f>
        <v>0.8861682510899854</v>
      </c>
      <c r="K239" s="97">
        <f t="shared" si="120"/>
        <v>0.9635183033369753</v>
      </c>
      <c r="L239" s="97">
        <f t="shared" si="120"/>
        <v>0.940888652053317</v>
      </c>
      <c r="M239" s="97">
        <f t="shared" si="120"/>
        <v>0.9418982599637529</v>
      </c>
      <c r="N239" s="97">
        <f t="shared" si="120"/>
        <v>1.0112538037933596</v>
      </c>
      <c r="O239" s="97">
        <f t="shared" si="120"/>
        <v>1.0061172477357327</v>
      </c>
      <c r="P239" s="97">
        <f t="shared" si="120"/>
        <v>1.0116243791598145</v>
      </c>
      <c r="Q239" s="97">
        <f t="shared" si="120"/>
        <v>1.0115074725588302</v>
      </c>
      <c r="R239" s="97">
        <f t="shared" si="120"/>
        <v>1.0113490789055326</v>
      </c>
      <c r="S239" s="97">
        <f t="shared" si="120"/>
        <v>1.0115498889519268</v>
      </c>
      <c r="T239" s="97">
        <f t="shared" si="120"/>
        <v>1.0114181067138468</v>
      </c>
      <c r="U239" s="97">
        <f t="shared" si="120"/>
        <v>1.0300109750613617</v>
      </c>
      <c r="V239" s="97">
        <f t="shared" si="120"/>
        <v>1.0113430127041743</v>
      </c>
      <c r="W239" s="97">
        <f t="shared" si="120"/>
        <v>0</v>
      </c>
      <c r="X239" s="97" t="str">
        <f t="shared" si="120"/>
        <v>-</v>
      </c>
      <c r="Y239" s="97" t="str">
        <f t="shared" si="120"/>
        <v>-</v>
      </c>
      <c r="Z239" s="97" t="str">
        <f t="shared" si="120"/>
        <v>-</v>
      </c>
      <c r="AA239" s="97" t="str">
        <f t="shared" si="120"/>
        <v>-</v>
      </c>
      <c r="AB239" s="97" t="str">
        <f t="shared" si="120"/>
        <v>-</v>
      </c>
      <c r="AC239" s="97" t="str">
        <f t="shared" si="120"/>
        <v>-</v>
      </c>
      <c r="AD239" s="97" t="str">
        <f t="shared" si="120"/>
        <v>-</v>
      </c>
      <c r="AE239" s="97" t="str">
        <f t="shared" si="120"/>
        <v>-</v>
      </c>
      <c r="AF239" s="97" t="str">
        <f t="shared" si="120"/>
        <v>-</v>
      </c>
      <c r="AG239" s="97" t="str">
        <f t="shared" si="120"/>
        <v>-</v>
      </c>
      <c r="AH239" s="97" t="str">
        <f t="shared" si="120"/>
        <v>-</v>
      </c>
      <c r="AI239" s="97" t="str">
        <f t="shared" si="120"/>
        <v>-</v>
      </c>
      <c r="AJ239" s="97" t="str">
        <f t="shared" si="120"/>
        <v>-</v>
      </c>
      <c r="AK239" s="97" t="str">
        <f t="shared" si="120"/>
        <v>-</v>
      </c>
      <c r="AL239" s="98" t="str">
        <f t="shared" si="120"/>
        <v>-</v>
      </c>
      <c r="AM239" s="42"/>
    </row>
    <row r="240" spans="4:38" ht="14.25" hidden="1" outlineLevel="2">
      <c r="D240" s="9" t="s">
        <v>219</v>
      </c>
      <c r="E240" s="321" t="s">
        <v>402</v>
      </c>
      <c r="F240" s="110">
        <f t="shared" si="119"/>
        <v>1.0873691077887735</v>
      </c>
      <c r="G240" s="110">
        <f t="shared" si="119"/>
        <v>1.012830667389048</v>
      </c>
      <c r="H240" s="111">
        <f>+IF(F22&lt;&gt;0,H22/F22,"-")</f>
        <v>0.9478456292756784</v>
      </c>
      <c r="I240" s="99">
        <f t="shared" si="119"/>
        <v>1.196169304137499</v>
      </c>
      <c r="J240" s="100">
        <f aca="true" t="shared" si="121" ref="J240:AL240">+IF(I22&lt;&gt;0,J22/I22,"-")</f>
        <v>0.9073556593713652</v>
      </c>
      <c r="K240" s="100">
        <f t="shared" si="121"/>
        <v>0.9909965848873722</v>
      </c>
      <c r="L240" s="100">
        <f t="shared" si="121"/>
        <v>1.011808924829908</v>
      </c>
      <c r="M240" s="100">
        <f t="shared" si="121"/>
        <v>1.0121368520715157</v>
      </c>
      <c r="N240" s="100">
        <f t="shared" si="121"/>
        <v>1.0114205404836514</v>
      </c>
      <c r="O240" s="100">
        <f t="shared" si="121"/>
        <v>1.0125209667886068</v>
      </c>
      <c r="P240" s="100">
        <f t="shared" si="121"/>
        <v>1.0117200658993508</v>
      </c>
      <c r="Q240" s="100">
        <f t="shared" si="121"/>
        <v>1.0116010996592313</v>
      </c>
      <c r="R240" s="100">
        <f t="shared" si="121"/>
        <v>1.011440358341627</v>
      </c>
      <c r="S240" s="100">
        <f t="shared" si="121"/>
        <v>1.0116417327558649</v>
      </c>
      <c r="T240" s="100">
        <f t="shared" si="121"/>
        <v>1.0115078577384025</v>
      </c>
      <c r="U240" s="100">
        <f t="shared" si="121"/>
        <v>1.0302441898907941</v>
      </c>
      <c r="V240" s="100">
        <f t="shared" si="121"/>
        <v>1.0114285714285713</v>
      </c>
      <c r="W240" s="100">
        <f t="shared" si="121"/>
        <v>0</v>
      </c>
      <c r="X240" s="100" t="str">
        <f t="shared" si="121"/>
        <v>-</v>
      </c>
      <c r="Y240" s="100" t="str">
        <f t="shared" si="121"/>
        <v>-</v>
      </c>
      <c r="Z240" s="100" t="str">
        <f t="shared" si="121"/>
        <v>-</v>
      </c>
      <c r="AA240" s="100" t="str">
        <f t="shared" si="121"/>
        <v>-</v>
      </c>
      <c r="AB240" s="100" t="str">
        <f t="shared" si="121"/>
        <v>-</v>
      </c>
      <c r="AC240" s="100" t="str">
        <f t="shared" si="121"/>
        <v>-</v>
      </c>
      <c r="AD240" s="100" t="str">
        <f t="shared" si="121"/>
        <v>-</v>
      </c>
      <c r="AE240" s="100" t="str">
        <f t="shared" si="121"/>
        <v>-</v>
      </c>
      <c r="AF240" s="100" t="str">
        <f t="shared" si="121"/>
        <v>-</v>
      </c>
      <c r="AG240" s="100" t="str">
        <f t="shared" si="121"/>
        <v>-</v>
      </c>
      <c r="AH240" s="100" t="str">
        <f t="shared" si="121"/>
        <v>-</v>
      </c>
      <c r="AI240" s="100" t="str">
        <f t="shared" si="121"/>
        <v>-</v>
      </c>
      <c r="AJ240" s="100" t="str">
        <f t="shared" si="121"/>
        <v>-</v>
      </c>
      <c r="AK240" s="100" t="str">
        <f t="shared" si="121"/>
        <v>-</v>
      </c>
      <c r="AL240" s="101" t="str">
        <f t="shared" si="121"/>
        <v>-</v>
      </c>
    </row>
    <row r="241" spans="4:38" ht="14.25" hidden="1" outlineLevel="2">
      <c r="D241" s="10" t="s">
        <v>389</v>
      </c>
      <c r="E241" s="321" t="s">
        <v>402</v>
      </c>
      <c r="F241" s="110">
        <f>+IF((E22-E26)&lt;&gt;0,(F22-F26)/(E22-E26),"-")</f>
        <v>1.0889129103313995</v>
      </c>
      <c r="G241" s="110">
        <f>+IF((F22-F26)&lt;&gt;0,(G22-G26)/(F22-F26),"-")</f>
        <v>1.010702099254891</v>
      </c>
      <c r="H241" s="111">
        <f>+IF((F22-F26)&lt;&gt;0,(H22-H26)/(F22-F26),"-")</f>
        <v>0.9447566374171527</v>
      </c>
      <c r="I241" s="99">
        <f>+IF((H22-H26)&lt;&gt;0,(I22-I26)/(H22-H26),"-")</f>
        <v>1.1989366262418946</v>
      </c>
      <c r="J241" s="100">
        <f aca="true" t="shared" si="122" ref="J241:AL241">+IF((I22-I26)&lt;&gt;0,(J22-J26)/(I22-I26),"-")</f>
        <v>0.9096021368410498</v>
      </c>
      <c r="K241" s="100">
        <f t="shared" si="122"/>
        <v>0.9932474864569102</v>
      </c>
      <c r="L241" s="100">
        <f t="shared" si="122"/>
        <v>1.013896727733021</v>
      </c>
      <c r="M241" s="100">
        <f t="shared" si="122"/>
        <v>1.0141820841095652</v>
      </c>
      <c r="N241" s="100">
        <f t="shared" si="122"/>
        <v>1.0134036031682545</v>
      </c>
      <c r="O241" s="100">
        <f t="shared" si="122"/>
        <v>1.014470392655136</v>
      </c>
      <c r="P241" s="100">
        <f t="shared" si="122"/>
        <v>1.0136103740140383</v>
      </c>
      <c r="Q241" s="100">
        <f t="shared" si="122"/>
        <v>1.0134469050461465</v>
      </c>
      <c r="R241" s="100">
        <f t="shared" si="122"/>
        <v>1.0132665721736163</v>
      </c>
      <c r="S241" s="100">
        <f t="shared" si="122"/>
        <v>1.013181503014346</v>
      </c>
      <c r="T241" s="100">
        <f t="shared" si="122"/>
        <v>1.0127477048947642</v>
      </c>
      <c r="U241" s="100">
        <f t="shared" si="122"/>
        <v>1.0313018891342056</v>
      </c>
      <c r="V241" s="100">
        <f t="shared" si="122"/>
        <v>1.0118213151411213</v>
      </c>
      <c r="W241" s="100">
        <f t="shared" si="122"/>
        <v>0</v>
      </c>
      <c r="X241" s="100" t="str">
        <f t="shared" si="122"/>
        <v>-</v>
      </c>
      <c r="Y241" s="100" t="str">
        <f t="shared" si="122"/>
        <v>-</v>
      </c>
      <c r="Z241" s="100" t="str">
        <f t="shared" si="122"/>
        <v>-</v>
      </c>
      <c r="AA241" s="100" t="str">
        <f t="shared" si="122"/>
        <v>-</v>
      </c>
      <c r="AB241" s="100" t="str">
        <f t="shared" si="122"/>
        <v>-</v>
      </c>
      <c r="AC241" s="100" t="str">
        <f t="shared" si="122"/>
        <v>-</v>
      </c>
      <c r="AD241" s="100" t="str">
        <f t="shared" si="122"/>
        <v>-</v>
      </c>
      <c r="AE241" s="100" t="str">
        <f t="shared" si="122"/>
        <v>-</v>
      </c>
      <c r="AF241" s="100" t="str">
        <f t="shared" si="122"/>
        <v>-</v>
      </c>
      <c r="AG241" s="100" t="str">
        <f t="shared" si="122"/>
        <v>-</v>
      </c>
      <c r="AH241" s="100" t="str">
        <f t="shared" si="122"/>
        <v>-</v>
      </c>
      <c r="AI241" s="100" t="str">
        <f t="shared" si="122"/>
        <v>-</v>
      </c>
      <c r="AJ241" s="100" t="str">
        <f t="shared" si="122"/>
        <v>-</v>
      </c>
      <c r="AK241" s="100" t="str">
        <f t="shared" si="122"/>
        <v>-</v>
      </c>
      <c r="AL241" s="101" t="str">
        <f t="shared" si="122"/>
        <v>-</v>
      </c>
    </row>
    <row r="242" spans="4:38" ht="24" hidden="1" outlineLevel="2">
      <c r="D242" s="10" t="s">
        <v>391</v>
      </c>
      <c r="E242" s="321" t="s">
        <v>402</v>
      </c>
      <c r="F242" s="110">
        <f>+IF(E83&lt;&gt;0,F83/E83,"-")</f>
        <v>0.5962017535345692</v>
      </c>
      <c r="G242" s="110">
        <f>+IF(F83&lt;&gt;0,G83/F83,"-")</f>
        <v>4.021082049055785</v>
      </c>
      <c r="H242" s="111">
        <f>+IF(F83&lt;&gt;0,H83/F83,"-")</f>
        <v>3.2930649012372477</v>
      </c>
      <c r="I242" s="99">
        <f>+IF(H83&lt;&gt;0,I83/H83,"-")</f>
        <v>1.3059837256898785</v>
      </c>
      <c r="J242" s="100">
        <f aca="true" t="shared" si="123" ref="J242:AL242">+IF(I83&lt;&gt;0,J83/I83,"-")</f>
        <v>0.8575437427684217</v>
      </c>
      <c r="K242" s="100">
        <f t="shared" si="123"/>
        <v>0.20695084089872431</v>
      </c>
      <c r="L242" s="100">
        <f t="shared" si="123"/>
        <v>0</v>
      </c>
      <c r="M242" s="100" t="str">
        <f t="shared" si="123"/>
        <v>-</v>
      </c>
      <c r="N242" s="100" t="str">
        <f t="shared" si="123"/>
        <v>-</v>
      </c>
      <c r="O242" s="100" t="str">
        <f t="shared" si="123"/>
        <v>-</v>
      </c>
      <c r="P242" s="100" t="str">
        <f t="shared" si="123"/>
        <v>-</v>
      </c>
      <c r="Q242" s="100" t="str">
        <f t="shared" si="123"/>
        <v>-</v>
      </c>
      <c r="R242" s="100" t="str">
        <f t="shared" si="123"/>
        <v>-</v>
      </c>
      <c r="S242" s="100" t="str">
        <f t="shared" si="123"/>
        <v>-</v>
      </c>
      <c r="T242" s="100" t="str">
        <f t="shared" si="123"/>
        <v>-</v>
      </c>
      <c r="U242" s="100" t="str">
        <f t="shared" si="123"/>
        <v>-</v>
      </c>
      <c r="V242" s="100" t="str">
        <f t="shared" si="123"/>
        <v>-</v>
      </c>
      <c r="W242" s="100" t="str">
        <f t="shared" si="123"/>
        <v>-</v>
      </c>
      <c r="X242" s="100" t="str">
        <f t="shared" si="123"/>
        <v>-</v>
      </c>
      <c r="Y242" s="100" t="str">
        <f t="shared" si="123"/>
        <v>-</v>
      </c>
      <c r="Z242" s="100" t="str">
        <f t="shared" si="123"/>
        <v>-</v>
      </c>
      <c r="AA242" s="100" t="str">
        <f t="shared" si="123"/>
        <v>-</v>
      </c>
      <c r="AB242" s="100" t="str">
        <f t="shared" si="123"/>
        <v>-</v>
      </c>
      <c r="AC242" s="100" t="str">
        <f t="shared" si="123"/>
        <v>-</v>
      </c>
      <c r="AD242" s="100" t="str">
        <f t="shared" si="123"/>
        <v>-</v>
      </c>
      <c r="AE242" s="100" t="str">
        <f t="shared" si="123"/>
        <v>-</v>
      </c>
      <c r="AF242" s="100" t="str">
        <f t="shared" si="123"/>
        <v>-</v>
      </c>
      <c r="AG242" s="100" t="str">
        <f t="shared" si="123"/>
        <v>-</v>
      </c>
      <c r="AH242" s="100" t="str">
        <f t="shared" si="123"/>
        <v>-</v>
      </c>
      <c r="AI242" s="100" t="str">
        <f t="shared" si="123"/>
        <v>-</v>
      </c>
      <c r="AJ242" s="100" t="str">
        <f t="shared" si="123"/>
        <v>-</v>
      </c>
      <c r="AK242" s="100" t="str">
        <f t="shared" si="123"/>
        <v>-</v>
      </c>
      <c r="AL242" s="101" t="str">
        <f t="shared" si="123"/>
        <v>-</v>
      </c>
    </row>
    <row r="243" spans="4:38" ht="14.25" hidden="1" outlineLevel="2">
      <c r="D243" s="10" t="s">
        <v>220</v>
      </c>
      <c r="E243" s="321" t="s">
        <v>402</v>
      </c>
      <c r="F243" s="110" t="str">
        <f aca="true" t="shared" si="124" ref="F243:I244">+IF(E23&lt;&gt;0,F23/E23,"-")</f>
        <v>-</v>
      </c>
      <c r="G243" s="110" t="str">
        <f t="shared" si="124"/>
        <v>-</v>
      </c>
      <c r="H243" s="111" t="str">
        <f>+IF(F23&lt;&gt;0,H23/F23,"-")</f>
        <v>-</v>
      </c>
      <c r="I243" s="99" t="str">
        <f t="shared" si="124"/>
        <v>-</v>
      </c>
      <c r="J243" s="100" t="str">
        <f aca="true" t="shared" si="125" ref="J243:AL243">+IF(I23&lt;&gt;0,J23/I23,"-")</f>
        <v>-</v>
      </c>
      <c r="K243" s="100" t="str">
        <f t="shared" si="125"/>
        <v>-</v>
      </c>
      <c r="L243" s="100" t="str">
        <f t="shared" si="125"/>
        <v>-</v>
      </c>
      <c r="M243" s="100" t="str">
        <f t="shared" si="125"/>
        <v>-</v>
      </c>
      <c r="N243" s="100" t="str">
        <f t="shared" si="125"/>
        <v>-</v>
      </c>
      <c r="O243" s="100" t="str">
        <f t="shared" si="125"/>
        <v>-</v>
      </c>
      <c r="P243" s="100" t="str">
        <f t="shared" si="125"/>
        <v>-</v>
      </c>
      <c r="Q243" s="100" t="str">
        <f t="shared" si="125"/>
        <v>-</v>
      </c>
      <c r="R243" s="100" t="str">
        <f t="shared" si="125"/>
        <v>-</v>
      </c>
      <c r="S243" s="100" t="str">
        <f t="shared" si="125"/>
        <v>-</v>
      </c>
      <c r="T243" s="100" t="str">
        <f t="shared" si="125"/>
        <v>-</v>
      </c>
      <c r="U243" s="100" t="str">
        <f t="shared" si="125"/>
        <v>-</v>
      </c>
      <c r="V243" s="100" t="str">
        <f t="shared" si="125"/>
        <v>-</v>
      </c>
      <c r="W243" s="100" t="str">
        <f t="shared" si="125"/>
        <v>-</v>
      </c>
      <c r="X243" s="100" t="str">
        <f t="shared" si="125"/>
        <v>-</v>
      </c>
      <c r="Y243" s="100" t="str">
        <f t="shared" si="125"/>
        <v>-</v>
      </c>
      <c r="Z243" s="100" t="str">
        <f t="shared" si="125"/>
        <v>-</v>
      </c>
      <c r="AA243" s="100" t="str">
        <f t="shared" si="125"/>
        <v>-</v>
      </c>
      <c r="AB243" s="100" t="str">
        <f t="shared" si="125"/>
        <v>-</v>
      </c>
      <c r="AC243" s="100" t="str">
        <f t="shared" si="125"/>
        <v>-</v>
      </c>
      <c r="AD243" s="100" t="str">
        <f t="shared" si="125"/>
        <v>-</v>
      </c>
      <c r="AE243" s="100" t="str">
        <f t="shared" si="125"/>
        <v>-</v>
      </c>
      <c r="AF243" s="100" t="str">
        <f t="shared" si="125"/>
        <v>-</v>
      </c>
      <c r="AG243" s="100" t="str">
        <f t="shared" si="125"/>
        <v>-</v>
      </c>
      <c r="AH243" s="100" t="str">
        <f t="shared" si="125"/>
        <v>-</v>
      </c>
      <c r="AI243" s="100" t="str">
        <f t="shared" si="125"/>
        <v>-</v>
      </c>
      <c r="AJ243" s="100" t="str">
        <f t="shared" si="125"/>
        <v>-</v>
      </c>
      <c r="AK243" s="100" t="str">
        <f t="shared" si="125"/>
        <v>-</v>
      </c>
      <c r="AL243" s="101" t="str">
        <f t="shared" si="125"/>
        <v>-</v>
      </c>
    </row>
    <row r="244" spans="4:38" ht="24" hidden="1" outlineLevel="2">
      <c r="D244" s="12" t="s">
        <v>390</v>
      </c>
      <c r="E244" s="321" t="s">
        <v>402</v>
      </c>
      <c r="F244" s="110" t="str">
        <f t="shared" si="124"/>
        <v>-</v>
      </c>
      <c r="G244" s="110" t="str">
        <f t="shared" si="124"/>
        <v>-</v>
      </c>
      <c r="H244" s="111" t="str">
        <f>+IF(F24&lt;&gt;0,H24/F24,"-")</f>
        <v>-</v>
      </c>
      <c r="I244" s="99" t="str">
        <f t="shared" si="124"/>
        <v>-</v>
      </c>
      <c r="J244" s="100" t="str">
        <f aca="true" t="shared" si="126" ref="J244:AL244">+IF(I24&lt;&gt;0,J24/I24,"-")</f>
        <v>-</v>
      </c>
      <c r="K244" s="100" t="str">
        <f t="shared" si="126"/>
        <v>-</v>
      </c>
      <c r="L244" s="100" t="str">
        <f t="shared" si="126"/>
        <v>-</v>
      </c>
      <c r="M244" s="100" t="str">
        <f t="shared" si="126"/>
        <v>-</v>
      </c>
      <c r="N244" s="100" t="str">
        <f t="shared" si="126"/>
        <v>-</v>
      </c>
      <c r="O244" s="100" t="str">
        <f t="shared" si="126"/>
        <v>-</v>
      </c>
      <c r="P244" s="100" t="str">
        <f t="shared" si="126"/>
        <v>-</v>
      </c>
      <c r="Q244" s="100" t="str">
        <f t="shared" si="126"/>
        <v>-</v>
      </c>
      <c r="R244" s="100" t="str">
        <f t="shared" si="126"/>
        <v>-</v>
      </c>
      <c r="S244" s="100" t="str">
        <f t="shared" si="126"/>
        <v>-</v>
      </c>
      <c r="T244" s="100" t="str">
        <f t="shared" si="126"/>
        <v>-</v>
      </c>
      <c r="U244" s="100" t="str">
        <f t="shared" si="126"/>
        <v>-</v>
      </c>
      <c r="V244" s="100" t="str">
        <f t="shared" si="126"/>
        <v>-</v>
      </c>
      <c r="W244" s="100" t="str">
        <f t="shared" si="126"/>
        <v>-</v>
      </c>
      <c r="X244" s="100" t="str">
        <f t="shared" si="126"/>
        <v>-</v>
      </c>
      <c r="Y244" s="100" t="str">
        <f t="shared" si="126"/>
        <v>-</v>
      </c>
      <c r="Z244" s="100" t="str">
        <f t="shared" si="126"/>
        <v>-</v>
      </c>
      <c r="AA244" s="100" t="str">
        <f t="shared" si="126"/>
        <v>-</v>
      </c>
      <c r="AB244" s="100" t="str">
        <f t="shared" si="126"/>
        <v>-</v>
      </c>
      <c r="AC244" s="100" t="str">
        <f t="shared" si="126"/>
        <v>-</v>
      </c>
      <c r="AD244" s="100" t="str">
        <f t="shared" si="126"/>
        <v>-</v>
      </c>
      <c r="AE244" s="100" t="str">
        <f t="shared" si="126"/>
        <v>-</v>
      </c>
      <c r="AF244" s="100" t="str">
        <f t="shared" si="126"/>
        <v>-</v>
      </c>
      <c r="AG244" s="100" t="str">
        <f t="shared" si="126"/>
        <v>-</v>
      </c>
      <c r="AH244" s="100" t="str">
        <f t="shared" si="126"/>
        <v>-</v>
      </c>
      <c r="AI244" s="100" t="str">
        <f t="shared" si="126"/>
        <v>-</v>
      </c>
      <c r="AJ244" s="100" t="str">
        <f t="shared" si="126"/>
        <v>-</v>
      </c>
      <c r="AK244" s="100" t="str">
        <f t="shared" si="126"/>
        <v>-</v>
      </c>
      <c r="AL244" s="101" t="str">
        <f t="shared" si="126"/>
        <v>-</v>
      </c>
    </row>
    <row r="245" spans="4:38" ht="14.25" hidden="1" outlineLevel="2">
      <c r="D245" s="10" t="s">
        <v>392</v>
      </c>
      <c r="E245" s="321" t="s">
        <v>402</v>
      </c>
      <c r="F245" s="110">
        <f aca="true" t="shared" si="127" ref="F245:I247">+IF(E26&lt;&gt;0,F26/E26,"-")</f>
        <v>1.0211020153660275</v>
      </c>
      <c r="G245" s="110">
        <f t="shared" si="127"/>
        <v>1.1102662830218455</v>
      </c>
      <c r="H245" s="111">
        <f>+IF(F26&lt;&gt;0,H26/F26,"-")</f>
        <v>1.0892448255665632</v>
      </c>
      <c r="I245" s="99">
        <f t="shared" si="127"/>
        <v>1.0862979857962387</v>
      </c>
      <c r="J245" s="100">
        <f aca="true" t="shared" si="128" ref="J245:AL245">+IF(I26&lt;&gt;0,J26/I26,"-")</f>
        <v>0.8089151291512915</v>
      </c>
      <c r="K245" s="100">
        <f t="shared" si="128"/>
        <v>0.8800850042228409</v>
      </c>
      <c r="L245" s="100">
        <f t="shared" si="128"/>
        <v>0.8957061120280547</v>
      </c>
      <c r="M245" s="100">
        <f t="shared" si="128"/>
        <v>0.8833937363803804</v>
      </c>
      <c r="N245" s="100">
        <f t="shared" si="128"/>
        <v>0.868109552788277</v>
      </c>
      <c r="O245" s="100">
        <f t="shared" si="128"/>
        <v>0.8480619536662639</v>
      </c>
      <c r="P245" s="100">
        <f t="shared" si="128"/>
        <v>0.8209565356660743</v>
      </c>
      <c r="Q245" s="100">
        <f t="shared" si="128"/>
        <v>0.7816160827921927</v>
      </c>
      <c r="R245" s="100">
        <f t="shared" si="128"/>
        <v>0.7164058770277311</v>
      </c>
      <c r="S245" s="100">
        <f t="shared" si="128"/>
        <v>0.6598046182645699</v>
      </c>
      <c r="T245" s="100">
        <f t="shared" si="128"/>
        <v>0.5764712784815962</v>
      </c>
      <c r="U245" s="100">
        <f t="shared" si="128"/>
        <v>0.37825047071395856</v>
      </c>
      <c r="V245" s="100">
        <f t="shared" si="128"/>
        <v>0.35134823470623283</v>
      </c>
      <c r="W245" s="100">
        <f t="shared" si="128"/>
        <v>0</v>
      </c>
      <c r="X245" s="100" t="str">
        <f t="shared" si="128"/>
        <v>-</v>
      </c>
      <c r="Y245" s="100" t="str">
        <f t="shared" si="128"/>
        <v>-</v>
      </c>
      <c r="Z245" s="100" t="str">
        <f t="shared" si="128"/>
        <v>-</v>
      </c>
      <c r="AA245" s="100" t="str">
        <f t="shared" si="128"/>
        <v>-</v>
      </c>
      <c r="AB245" s="100" t="str">
        <f t="shared" si="128"/>
        <v>-</v>
      </c>
      <c r="AC245" s="100" t="str">
        <f t="shared" si="128"/>
        <v>-</v>
      </c>
      <c r="AD245" s="100" t="str">
        <f t="shared" si="128"/>
        <v>-</v>
      </c>
      <c r="AE245" s="100" t="str">
        <f t="shared" si="128"/>
        <v>-</v>
      </c>
      <c r="AF245" s="100" t="str">
        <f t="shared" si="128"/>
        <v>-</v>
      </c>
      <c r="AG245" s="100" t="str">
        <f t="shared" si="128"/>
        <v>-</v>
      </c>
      <c r="AH245" s="100" t="str">
        <f t="shared" si="128"/>
        <v>-</v>
      </c>
      <c r="AI245" s="100" t="str">
        <f t="shared" si="128"/>
        <v>-</v>
      </c>
      <c r="AJ245" s="100" t="str">
        <f t="shared" si="128"/>
        <v>-</v>
      </c>
      <c r="AK245" s="100" t="str">
        <f t="shared" si="128"/>
        <v>-</v>
      </c>
      <c r="AL245" s="101" t="str">
        <f t="shared" si="128"/>
        <v>-</v>
      </c>
    </row>
    <row r="246" spans="4:38" ht="14.25" hidden="1" outlineLevel="2">
      <c r="D246" s="12" t="s">
        <v>393</v>
      </c>
      <c r="E246" s="321" t="s">
        <v>402</v>
      </c>
      <c r="F246" s="110">
        <f t="shared" si="127"/>
        <v>1.0211020153660275</v>
      </c>
      <c r="G246" s="110">
        <f t="shared" si="127"/>
        <v>1.1102662830218455</v>
      </c>
      <c r="H246" s="111">
        <f>+IF(F27&lt;&gt;0,H27/F27,"-")</f>
        <v>1.0892448255665632</v>
      </c>
      <c r="I246" s="99">
        <f t="shared" si="127"/>
        <v>1.0862979857962387</v>
      </c>
      <c r="J246" s="100">
        <f aca="true" t="shared" si="129" ref="J246:AL246">+IF(I27&lt;&gt;0,J27/I27,"-")</f>
        <v>0.8089151291512915</v>
      </c>
      <c r="K246" s="100">
        <f t="shared" si="129"/>
        <v>0.8800850042228409</v>
      </c>
      <c r="L246" s="100">
        <f t="shared" si="129"/>
        <v>0.8957061120280547</v>
      </c>
      <c r="M246" s="100">
        <f t="shared" si="129"/>
        <v>0.8833937363803804</v>
      </c>
      <c r="N246" s="100">
        <f t="shared" si="129"/>
        <v>0.868109552788277</v>
      </c>
      <c r="O246" s="100">
        <f t="shared" si="129"/>
        <v>0.8480619536662639</v>
      </c>
      <c r="P246" s="100">
        <f t="shared" si="129"/>
        <v>0.8209565356660743</v>
      </c>
      <c r="Q246" s="100">
        <f t="shared" si="129"/>
        <v>0.7816160827921927</v>
      </c>
      <c r="R246" s="100">
        <f t="shared" si="129"/>
        <v>0.7164058770277311</v>
      </c>
      <c r="S246" s="100">
        <f t="shared" si="129"/>
        <v>0.6598046182645699</v>
      </c>
      <c r="T246" s="100">
        <f t="shared" si="129"/>
        <v>0.5764712784815962</v>
      </c>
      <c r="U246" s="100">
        <f t="shared" si="129"/>
        <v>0.37825047071395856</v>
      </c>
      <c r="V246" s="100">
        <f t="shared" si="129"/>
        <v>0.35134823470623283</v>
      </c>
      <c r="W246" s="100">
        <f t="shared" si="129"/>
        <v>0</v>
      </c>
      <c r="X246" s="100" t="str">
        <f t="shared" si="129"/>
        <v>-</v>
      </c>
      <c r="Y246" s="100" t="str">
        <f t="shared" si="129"/>
        <v>-</v>
      </c>
      <c r="Z246" s="100" t="str">
        <f t="shared" si="129"/>
        <v>-</v>
      </c>
      <c r="AA246" s="100" t="str">
        <f t="shared" si="129"/>
        <v>-</v>
      </c>
      <c r="AB246" s="100" t="str">
        <f t="shared" si="129"/>
        <v>-</v>
      </c>
      <c r="AC246" s="100" t="str">
        <f t="shared" si="129"/>
        <v>-</v>
      </c>
      <c r="AD246" s="100" t="str">
        <f t="shared" si="129"/>
        <v>-</v>
      </c>
      <c r="AE246" s="100" t="str">
        <f t="shared" si="129"/>
        <v>-</v>
      </c>
      <c r="AF246" s="100" t="str">
        <f t="shared" si="129"/>
        <v>-</v>
      </c>
      <c r="AG246" s="100" t="str">
        <f t="shared" si="129"/>
        <v>-</v>
      </c>
      <c r="AH246" s="100" t="str">
        <f t="shared" si="129"/>
        <v>-</v>
      </c>
      <c r="AI246" s="100" t="str">
        <f t="shared" si="129"/>
        <v>-</v>
      </c>
      <c r="AJ246" s="100" t="str">
        <f t="shared" si="129"/>
        <v>-</v>
      </c>
      <c r="AK246" s="100" t="str">
        <f t="shared" si="129"/>
        <v>-</v>
      </c>
      <c r="AL246" s="101" t="str">
        <f t="shared" si="129"/>
        <v>-</v>
      </c>
    </row>
    <row r="247" spans="4:38" ht="14.25" hidden="1" outlineLevel="2">
      <c r="D247" s="9" t="s">
        <v>394</v>
      </c>
      <c r="E247" s="321" t="s">
        <v>402</v>
      </c>
      <c r="F247" s="110">
        <f t="shared" si="127"/>
        <v>0.8996339398588967</v>
      </c>
      <c r="G247" s="110">
        <f t="shared" si="127"/>
        <v>3.8528466806135593</v>
      </c>
      <c r="H247" s="111">
        <f>+IF(F28&lt;&gt;0,H28/F28,"-")</f>
        <v>3.653554203453774</v>
      </c>
      <c r="I247" s="99">
        <f t="shared" si="127"/>
        <v>0.8356654956252533</v>
      </c>
      <c r="J247" s="100">
        <f aca="true" t="shared" si="130" ref="J247:AL247">+IF(I28&lt;&gt;0,J28/I28,"-")</f>
        <v>0.7959975382865764</v>
      </c>
      <c r="K247" s="100">
        <f t="shared" si="130"/>
        <v>0.8302143393045692</v>
      </c>
      <c r="L247" s="100">
        <f t="shared" si="130"/>
        <v>0.530206508618166</v>
      </c>
      <c r="M247" s="100">
        <f t="shared" si="130"/>
        <v>0.1657142857142857</v>
      </c>
      <c r="N247" s="100">
        <f t="shared" si="130"/>
        <v>1</v>
      </c>
      <c r="O247" s="100">
        <f t="shared" si="130"/>
        <v>0.5689655172413793</v>
      </c>
      <c r="P247" s="100">
        <f t="shared" si="130"/>
        <v>1</v>
      </c>
      <c r="Q247" s="100">
        <f t="shared" si="130"/>
        <v>1</v>
      </c>
      <c r="R247" s="100">
        <f t="shared" si="130"/>
        <v>1</v>
      </c>
      <c r="S247" s="100">
        <f t="shared" si="130"/>
        <v>1</v>
      </c>
      <c r="T247" s="100">
        <f t="shared" si="130"/>
        <v>1</v>
      </c>
      <c r="U247" s="100">
        <f t="shared" si="130"/>
        <v>1</v>
      </c>
      <c r="V247" s="100">
        <f t="shared" si="130"/>
        <v>1</v>
      </c>
      <c r="W247" s="100">
        <f t="shared" si="130"/>
        <v>0</v>
      </c>
      <c r="X247" s="100" t="str">
        <f t="shared" si="130"/>
        <v>-</v>
      </c>
      <c r="Y247" s="100" t="str">
        <f t="shared" si="130"/>
        <v>-</v>
      </c>
      <c r="Z247" s="100" t="str">
        <f t="shared" si="130"/>
        <v>-</v>
      </c>
      <c r="AA247" s="100" t="str">
        <f t="shared" si="130"/>
        <v>-</v>
      </c>
      <c r="AB247" s="100" t="str">
        <f t="shared" si="130"/>
        <v>-</v>
      </c>
      <c r="AC247" s="100" t="str">
        <f t="shared" si="130"/>
        <v>-</v>
      </c>
      <c r="AD247" s="100" t="str">
        <f t="shared" si="130"/>
        <v>-</v>
      </c>
      <c r="AE247" s="100" t="str">
        <f t="shared" si="130"/>
        <v>-</v>
      </c>
      <c r="AF247" s="100" t="str">
        <f t="shared" si="130"/>
        <v>-</v>
      </c>
      <c r="AG247" s="100" t="str">
        <f t="shared" si="130"/>
        <v>-</v>
      </c>
      <c r="AH247" s="100" t="str">
        <f t="shared" si="130"/>
        <v>-</v>
      </c>
      <c r="AI247" s="100" t="str">
        <f t="shared" si="130"/>
        <v>-</v>
      </c>
      <c r="AJ247" s="100" t="str">
        <f t="shared" si="130"/>
        <v>-</v>
      </c>
      <c r="AK247" s="100" t="str">
        <f t="shared" si="130"/>
        <v>-</v>
      </c>
      <c r="AL247" s="101" t="str">
        <f t="shared" si="130"/>
        <v>-</v>
      </c>
    </row>
    <row r="248" spans="4:38" ht="24" hidden="1" outlineLevel="2">
      <c r="D248" s="14" t="s">
        <v>391</v>
      </c>
      <c r="E248" s="324" t="s">
        <v>402</v>
      </c>
      <c r="F248" s="116">
        <f>+IF(E86&lt;&gt;0,F86/E86,"-")</f>
        <v>0.6419661036702374</v>
      </c>
      <c r="G248" s="116">
        <f>+IF(F86&lt;&gt;0,G86/F86,"-")</f>
        <v>0.125268782809488</v>
      </c>
      <c r="H248" s="117">
        <f>+IF(F86&lt;&gt;0,H86/F86,"-")</f>
        <v>0.12139773096250017</v>
      </c>
      <c r="I248" s="102">
        <f>+IF(H86&lt;&gt;0,I86/H86,"-")</f>
        <v>0.509626857361036</v>
      </c>
      <c r="J248" s="103">
        <f aca="true" t="shared" si="131" ref="J248:AL248">+IF(I86&lt;&gt;0,J86/I86,"-")</f>
        <v>0</v>
      </c>
      <c r="K248" s="103" t="str">
        <f t="shared" si="131"/>
        <v>-</v>
      </c>
      <c r="L248" s="103" t="str">
        <f t="shared" si="131"/>
        <v>-</v>
      </c>
      <c r="M248" s="103" t="str">
        <f t="shared" si="131"/>
        <v>-</v>
      </c>
      <c r="N248" s="103" t="str">
        <f t="shared" si="131"/>
        <v>-</v>
      </c>
      <c r="O248" s="103" t="str">
        <f t="shared" si="131"/>
        <v>-</v>
      </c>
      <c r="P248" s="103" t="str">
        <f t="shared" si="131"/>
        <v>-</v>
      </c>
      <c r="Q248" s="103" t="str">
        <f t="shared" si="131"/>
        <v>-</v>
      </c>
      <c r="R248" s="103" t="str">
        <f t="shared" si="131"/>
        <v>-</v>
      </c>
      <c r="S248" s="103" t="str">
        <f t="shared" si="131"/>
        <v>-</v>
      </c>
      <c r="T248" s="103" t="str">
        <f t="shared" si="131"/>
        <v>-</v>
      </c>
      <c r="U248" s="103" t="str">
        <f t="shared" si="131"/>
        <v>-</v>
      </c>
      <c r="V248" s="103" t="str">
        <f t="shared" si="131"/>
        <v>-</v>
      </c>
      <c r="W248" s="103" t="str">
        <f t="shared" si="131"/>
        <v>-</v>
      </c>
      <c r="X248" s="103" t="str">
        <f t="shared" si="131"/>
        <v>-</v>
      </c>
      <c r="Y248" s="103" t="str">
        <f t="shared" si="131"/>
        <v>-</v>
      </c>
      <c r="Z248" s="103" t="str">
        <f t="shared" si="131"/>
        <v>-</v>
      </c>
      <c r="AA248" s="103" t="str">
        <f t="shared" si="131"/>
        <v>-</v>
      </c>
      <c r="AB248" s="103" t="str">
        <f t="shared" si="131"/>
        <v>-</v>
      </c>
      <c r="AC248" s="103" t="str">
        <f t="shared" si="131"/>
        <v>-</v>
      </c>
      <c r="AD248" s="103" t="str">
        <f t="shared" si="131"/>
        <v>-</v>
      </c>
      <c r="AE248" s="103" t="str">
        <f t="shared" si="131"/>
        <v>-</v>
      </c>
      <c r="AF248" s="103" t="str">
        <f t="shared" si="131"/>
        <v>-</v>
      </c>
      <c r="AG248" s="103" t="str">
        <f t="shared" si="131"/>
        <v>-</v>
      </c>
      <c r="AH248" s="103" t="str">
        <f t="shared" si="131"/>
        <v>-</v>
      </c>
      <c r="AI248" s="103" t="str">
        <f t="shared" si="131"/>
        <v>-</v>
      </c>
      <c r="AJ248" s="103" t="str">
        <f t="shared" si="131"/>
        <v>-</v>
      </c>
      <c r="AK248" s="103" t="str">
        <f t="shared" si="131"/>
        <v>-</v>
      </c>
      <c r="AL248" s="104" t="str">
        <f t="shared" si="131"/>
        <v>-</v>
      </c>
    </row>
    <row r="249" spans="4:38" ht="14.25" hidden="1" outlineLevel="2">
      <c r="D249" s="34" t="s">
        <v>395</v>
      </c>
      <c r="E249" s="37"/>
      <c r="F249" s="37"/>
      <c r="G249" s="37"/>
      <c r="H249" s="37"/>
      <c r="I249" s="252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253"/>
      <c r="AA249" s="253"/>
      <c r="AB249" s="253"/>
      <c r="AC249" s="253"/>
      <c r="AD249" s="253"/>
      <c r="AE249" s="253"/>
      <c r="AF249" s="253"/>
      <c r="AG249" s="253"/>
      <c r="AH249" s="253"/>
      <c r="AI249" s="253"/>
      <c r="AJ249" s="253"/>
      <c r="AK249" s="253"/>
      <c r="AL249" s="253"/>
    </row>
    <row r="250" spans="4:38" ht="14.25" hidden="1" outlineLevel="2">
      <c r="D250" s="33" t="s">
        <v>2</v>
      </c>
      <c r="E250" s="325" t="s">
        <v>402</v>
      </c>
      <c r="F250" s="214">
        <f aca="true" t="shared" si="132" ref="F250:I251">+IF(E68&lt;&gt;0,F68/E68,"-")</f>
        <v>1.0651329743509597</v>
      </c>
      <c r="G250" s="214">
        <f t="shared" si="132"/>
        <v>1.093625491706704</v>
      </c>
      <c r="H250" s="215">
        <f t="shared" si="132"/>
        <v>0.9833764415667754</v>
      </c>
      <c r="I250" s="105">
        <f t="shared" si="132"/>
        <v>1.0896247500494178</v>
      </c>
      <c r="J250" s="106">
        <f aca="true" t="shared" si="133" ref="J250:AL250">+IF(I68&lt;&gt;0,J68/I68,"-")</f>
        <v>1.0017022107795452</v>
      </c>
      <c r="K250" s="106">
        <f t="shared" si="133"/>
        <v>1.0032467532467533</v>
      </c>
      <c r="L250" s="106">
        <f t="shared" si="133"/>
        <v>1.0032362459546926</v>
      </c>
      <c r="M250" s="106">
        <f t="shared" si="133"/>
        <v>1.0064516129032257</v>
      </c>
      <c r="N250" s="106">
        <f t="shared" si="133"/>
        <v>1.0192307692307692</v>
      </c>
      <c r="O250" s="106">
        <f t="shared" si="133"/>
        <v>1.0188679245283019</v>
      </c>
      <c r="P250" s="106">
        <f t="shared" si="133"/>
        <v>1.0185185185185186</v>
      </c>
      <c r="Q250" s="106">
        <f t="shared" si="133"/>
        <v>1.018181818181818</v>
      </c>
      <c r="R250" s="106">
        <f t="shared" si="133"/>
        <v>1.0178571428571428</v>
      </c>
      <c r="S250" s="106">
        <f t="shared" si="133"/>
        <v>1.0175438596491229</v>
      </c>
      <c r="T250" s="106">
        <f t="shared" si="133"/>
        <v>1.0172413793103448</v>
      </c>
      <c r="U250" s="106">
        <f t="shared" si="133"/>
        <v>1.0169491525423728</v>
      </c>
      <c r="V250" s="106">
        <f t="shared" si="133"/>
        <v>1.0166666666666666</v>
      </c>
      <c r="W250" s="106">
        <f t="shared" si="133"/>
        <v>0</v>
      </c>
      <c r="X250" s="106" t="str">
        <f t="shared" si="133"/>
        <v>-</v>
      </c>
      <c r="Y250" s="106" t="str">
        <f t="shared" si="133"/>
        <v>-</v>
      </c>
      <c r="Z250" s="106" t="str">
        <f t="shared" si="133"/>
        <v>-</v>
      </c>
      <c r="AA250" s="106" t="str">
        <f t="shared" si="133"/>
        <v>-</v>
      </c>
      <c r="AB250" s="106" t="str">
        <f t="shared" si="133"/>
        <v>-</v>
      </c>
      <c r="AC250" s="106" t="str">
        <f t="shared" si="133"/>
        <v>-</v>
      </c>
      <c r="AD250" s="106" t="str">
        <f t="shared" si="133"/>
        <v>-</v>
      </c>
      <c r="AE250" s="106" t="str">
        <f t="shared" si="133"/>
        <v>-</v>
      </c>
      <c r="AF250" s="106" t="str">
        <f t="shared" si="133"/>
        <v>-</v>
      </c>
      <c r="AG250" s="106" t="str">
        <f t="shared" si="133"/>
        <v>-</v>
      </c>
      <c r="AH250" s="106" t="str">
        <f t="shared" si="133"/>
        <v>-</v>
      </c>
      <c r="AI250" s="106" t="str">
        <f t="shared" si="133"/>
        <v>-</v>
      </c>
      <c r="AJ250" s="106" t="str">
        <f t="shared" si="133"/>
        <v>-</v>
      </c>
      <c r="AK250" s="106" t="str">
        <f t="shared" si="133"/>
        <v>-</v>
      </c>
      <c r="AL250" s="107" t="str">
        <f t="shared" si="133"/>
        <v>-</v>
      </c>
    </row>
    <row r="251" spans="4:38" ht="14.25" hidden="1" outlineLevel="2">
      <c r="D251" s="9" t="s">
        <v>3</v>
      </c>
      <c r="E251" s="321" t="s">
        <v>402</v>
      </c>
      <c r="F251" s="110">
        <f t="shared" si="132"/>
        <v>0.7296635507061027</v>
      </c>
      <c r="G251" s="110">
        <f t="shared" si="132"/>
        <v>1.0921059134649767</v>
      </c>
      <c r="H251" s="111">
        <f t="shared" si="132"/>
        <v>0.9336761976889226</v>
      </c>
      <c r="I251" s="99">
        <f t="shared" si="132"/>
        <v>1.0845312008589432</v>
      </c>
      <c r="J251" s="100">
        <f aca="true" t="shared" si="134" ref="J251:AL251">+IF(I69&lt;&gt;0,J69/I69,"-")</f>
        <v>1.0074643964978804</v>
      </c>
      <c r="K251" s="100">
        <f t="shared" si="134"/>
        <v>1.0084016647730714</v>
      </c>
      <c r="L251" s="100">
        <f t="shared" si="134"/>
        <v>0.9997997900920341</v>
      </c>
      <c r="M251" s="100">
        <f t="shared" si="134"/>
        <v>1.0083333333333333</v>
      </c>
      <c r="N251" s="100">
        <f t="shared" si="134"/>
        <v>1.0082644628099173</v>
      </c>
      <c r="O251" s="100">
        <f t="shared" si="134"/>
        <v>1.0081967213114753</v>
      </c>
      <c r="P251" s="100">
        <f t="shared" si="134"/>
        <v>1.008130081300813</v>
      </c>
      <c r="Q251" s="100">
        <f t="shared" si="134"/>
        <v>1.0080645161290323</v>
      </c>
      <c r="R251" s="100">
        <f t="shared" si="134"/>
        <v>1.008</v>
      </c>
      <c r="S251" s="100">
        <f t="shared" si="134"/>
        <v>1.007936507936508</v>
      </c>
      <c r="T251" s="100">
        <f t="shared" si="134"/>
        <v>1.0039370078740157</v>
      </c>
      <c r="U251" s="100">
        <f t="shared" si="134"/>
        <v>1.007843137254902</v>
      </c>
      <c r="V251" s="100">
        <f t="shared" si="134"/>
        <v>1.0116731517509727</v>
      </c>
      <c r="W251" s="100">
        <f t="shared" si="134"/>
        <v>0</v>
      </c>
      <c r="X251" s="100" t="str">
        <f t="shared" si="134"/>
        <v>-</v>
      </c>
      <c r="Y251" s="100" t="str">
        <f t="shared" si="134"/>
        <v>-</v>
      </c>
      <c r="Z251" s="100" t="str">
        <f t="shared" si="134"/>
        <v>-</v>
      </c>
      <c r="AA251" s="100" t="str">
        <f t="shared" si="134"/>
        <v>-</v>
      </c>
      <c r="AB251" s="100" t="str">
        <f t="shared" si="134"/>
        <v>-</v>
      </c>
      <c r="AC251" s="100" t="str">
        <f t="shared" si="134"/>
        <v>-</v>
      </c>
      <c r="AD251" s="100" t="str">
        <f t="shared" si="134"/>
        <v>-</v>
      </c>
      <c r="AE251" s="100" t="str">
        <f t="shared" si="134"/>
        <v>-</v>
      </c>
      <c r="AF251" s="100" t="str">
        <f t="shared" si="134"/>
        <v>-</v>
      </c>
      <c r="AG251" s="100" t="str">
        <f t="shared" si="134"/>
        <v>-</v>
      </c>
      <c r="AH251" s="100" t="str">
        <f t="shared" si="134"/>
        <v>-</v>
      </c>
      <c r="AI251" s="100" t="str">
        <f t="shared" si="134"/>
        <v>-</v>
      </c>
      <c r="AJ251" s="100" t="str">
        <f t="shared" si="134"/>
        <v>-</v>
      </c>
      <c r="AK251" s="100" t="str">
        <f t="shared" si="134"/>
        <v>-</v>
      </c>
      <c r="AL251" s="101" t="str">
        <f t="shared" si="134"/>
        <v>-</v>
      </c>
    </row>
    <row r="252" spans="4:38" ht="14.25" hidden="1" outlineLevel="2">
      <c r="D252" s="9" t="s">
        <v>396</v>
      </c>
      <c r="E252" s="321" t="s">
        <v>402</v>
      </c>
      <c r="F252" s="110" t="str">
        <f aca="true" t="shared" si="135" ref="F252:I253">+IF(E71&lt;&gt;0,F71/E71,"-")</f>
        <v>-</v>
      </c>
      <c r="G252" s="110">
        <f t="shared" si="135"/>
        <v>3.304216976553842</v>
      </c>
      <c r="H252" s="111">
        <f t="shared" si="135"/>
        <v>0.9083417089833368</v>
      </c>
      <c r="I252" s="99">
        <f t="shared" si="135"/>
        <v>0.6930573001697756</v>
      </c>
      <c r="J252" s="100">
        <f aca="true" t="shared" si="136" ref="J252:AL252">+IF(I71&lt;&gt;0,J71/I71,"-")</f>
        <v>1.221818878239447</v>
      </c>
      <c r="K252" s="100">
        <f t="shared" si="136"/>
        <v>0.2004217906151588</v>
      </c>
      <c r="L252" s="100">
        <f t="shared" si="136"/>
        <v>0</v>
      </c>
      <c r="M252" s="100" t="str">
        <f t="shared" si="136"/>
        <v>-</v>
      </c>
      <c r="N252" s="100" t="str">
        <f t="shared" si="136"/>
        <v>-</v>
      </c>
      <c r="O252" s="100" t="str">
        <f t="shared" si="136"/>
        <v>-</v>
      </c>
      <c r="P252" s="100" t="str">
        <f t="shared" si="136"/>
        <v>-</v>
      </c>
      <c r="Q252" s="100" t="str">
        <f t="shared" si="136"/>
        <v>-</v>
      </c>
      <c r="R252" s="100" t="str">
        <f t="shared" si="136"/>
        <v>-</v>
      </c>
      <c r="S252" s="100" t="str">
        <f t="shared" si="136"/>
        <v>-</v>
      </c>
      <c r="T252" s="100" t="str">
        <f t="shared" si="136"/>
        <v>-</v>
      </c>
      <c r="U252" s="100" t="str">
        <f t="shared" si="136"/>
        <v>-</v>
      </c>
      <c r="V252" s="100" t="str">
        <f t="shared" si="136"/>
        <v>-</v>
      </c>
      <c r="W252" s="100" t="str">
        <f t="shared" si="136"/>
        <v>-</v>
      </c>
      <c r="X252" s="100" t="str">
        <f t="shared" si="136"/>
        <v>-</v>
      </c>
      <c r="Y252" s="100" t="str">
        <f t="shared" si="136"/>
        <v>-</v>
      </c>
      <c r="Z252" s="100" t="str">
        <f t="shared" si="136"/>
        <v>-</v>
      </c>
      <c r="AA252" s="100" t="str">
        <f t="shared" si="136"/>
        <v>-</v>
      </c>
      <c r="AB252" s="100" t="str">
        <f t="shared" si="136"/>
        <v>-</v>
      </c>
      <c r="AC252" s="100" t="str">
        <f t="shared" si="136"/>
        <v>-</v>
      </c>
      <c r="AD252" s="100" t="str">
        <f t="shared" si="136"/>
        <v>-</v>
      </c>
      <c r="AE252" s="100" t="str">
        <f t="shared" si="136"/>
        <v>-</v>
      </c>
      <c r="AF252" s="100" t="str">
        <f t="shared" si="136"/>
        <v>-</v>
      </c>
      <c r="AG252" s="100" t="str">
        <f t="shared" si="136"/>
        <v>-</v>
      </c>
      <c r="AH252" s="100" t="str">
        <f t="shared" si="136"/>
        <v>-</v>
      </c>
      <c r="AI252" s="100" t="str">
        <f t="shared" si="136"/>
        <v>-</v>
      </c>
      <c r="AJ252" s="100" t="str">
        <f t="shared" si="136"/>
        <v>-</v>
      </c>
      <c r="AK252" s="100" t="str">
        <f t="shared" si="136"/>
        <v>-</v>
      </c>
      <c r="AL252" s="101" t="str">
        <f t="shared" si="136"/>
        <v>-</v>
      </c>
    </row>
    <row r="253" spans="4:38" ht="14.25" hidden="1" outlineLevel="2">
      <c r="D253" s="13" t="s">
        <v>397</v>
      </c>
      <c r="E253" s="324" t="s">
        <v>402</v>
      </c>
      <c r="F253" s="116" t="str">
        <f t="shared" si="135"/>
        <v>-</v>
      </c>
      <c r="G253" s="116">
        <f t="shared" si="135"/>
        <v>4.250492676347353</v>
      </c>
      <c r="H253" s="117">
        <f t="shared" si="135"/>
        <v>0.9789586631078101</v>
      </c>
      <c r="I253" s="102">
        <f t="shared" si="135"/>
        <v>0.9016226159558224</v>
      </c>
      <c r="J253" s="103">
        <f aca="true" t="shared" si="137" ref="J253:AL253">+IF(I72&lt;&gt;0,J72/I72,"-")</f>
        <v>0.8363296670990557</v>
      </c>
      <c r="K253" s="103">
        <f t="shared" si="137"/>
        <v>0.8302143393045692</v>
      </c>
      <c r="L253" s="103">
        <f t="shared" si="137"/>
        <v>0.530206508618166</v>
      </c>
      <c r="M253" s="103">
        <f t="shared" si="137"/>
        <v>0</v>
      </c>
      <c r="N253" s="103" t="str">
        <f t="shared" si="137"/>
        <v>-</v>
      </c>
      <c r="O253" s="103" t="str">
        <f t="shared" si="137"/>
        <v>-</v>
      </c>
      <c r="P253" s="103" t="str">
        <f t="shared" si="137"/>
        <v>-</v>
      </c>
      <c r="Q253" s="103" t="str">
        <f t="shared" si="137"/>
        <v>-</v>
      </c>
      <c r="R253" s="103" t="str">
        <f t="shared" si="137"/>
        <v>-</v>
      </c>
      <c r="S253" s="103" t="str">
        <f t="shared" si="137"/>
        <v>-</v>
      </c>
      <c r="T253" s="103" t="str">
        <f t="shared" si="137"/>
        <v>-</v>
      </c>
      <c r="U253" s="103" t="str">
        <f t="shared" si="137"/>
        <v>-</v>
      </c>
      <c r="V253" s="103" t="str">
        <f t="shared" si="137"/>
        <v>-</v>
      </c>
      <c r="W253" s="103" t="str">
        <f t="shared" si="137"/>
        <v>-</v>
      </c>
      <c r="X253" s="103" t="str">
        <f t="shared" si="137"/>
        <v>-</v>
      </c>
      <c r="Y253" s="103" t="str">
        <f t="shared" si="137"/>
        <v>-</v>
      </c>
      <c r="Z253" s="103" t="str">
        <f t="shared" si="137"/>
        <v>-</v>
      </c>
      <c r="AA253" s="103" t="str">
        <f t="shared" si="137"/>
        <v>-</v>
      </c>
      <c r="AB253" s="103" t="str">
        <f t="shared" si="137"/>
        <v>-</v>
      </c>
      <c r="AC253" s="103" t="str">
        <f t="shared" si="137"/>
        <v>-</v>
      </c>
      <c r="AD253" s="103" t="str">
        <f t="shared" si="137"/>
        <v>-</v>
      </c>
      <c r="AE253" s="103" t="str">
        <f t="shared" si="137"/>
        <v>-</v>
      </c>
      <c r="AF253" s="103" t="str">
        <f t="shared" si="137"/>
        <v>-</v>
      </c>
      <c r="AG253" s="103" t="str">
        <f t="shared" si="137"/>
        <v>-</v>
      </c>
      <c r="AH253" s="103" t="str">
        <f t="shared" si="137"/>
        <v>-</v>
      </c>
      <c r="AI253" s="103" t="str">
        <f t="shared" si="137"/>
        <v>-</v>
      </c>
      <c r="AJ253" s="103" t="str">
        <f t="shared" si="137"/>
        <v>-</v>
      </c>
      <c r="AK253" s="103" t="str">
        <f t="shared" si="137"/>
        <v>-</v>
      </c>
      <c r="AL253" s="104" t="str">
        <f t="shared" si="137"/>
        <v>-</v>
      </c>
    </row>
  </sheetData>
  <sheetProtection formatCells="0" formatColumns="0" formatRows="0" insertColumns="0" deleteColumns="0"/>
  <autoFilter ref="A9:A104"/>
  <mergeCells count="1">
    <mergeCell ref="E8:F8"/>
  </mergeCells>
  <conditionalFormatting sqref="I233:AL248">
    <cfRule type="cellIs" priority="6" dxfId="13" operator="equal" stopIfTrue="1">
      <formula>"-"</formula>
    </cfRule>
    <cfRule type="cellIs" priority="81" dxfId="12" operator="between" stopIfTrue="1">
      <formula>0.00000001</formula>
      <formula>1</formula>
    </cfRule>
    <cfRule type="cellIs" priority="82" dxfId="11" operator="greaterThan" stopIfTrue="1">
      <formula>1</formula>
    </cfRule>
  </conditionalFormatting>
  <conditionalFormatting sqref="I250:AL253">
    <cfRule type="cellIs" priority="5" dxfId="13" operator="equal" stopIfTrue="1">
      <formula>"-"</formula>
    </cfRule>
    <cfRule type="cellIs" priority="83" dxfId="12" operator="between" stopIfTrue="1">
      <formula>0.00000001</formula>
      <formula>1</formula>
    </cfRule>
    <cfRule type="cellIs" priority="84" dxfId="11" operator="greaterThan" stopIfTrue="1">
      <formula>1</formula>
    </cfRule>
  </conditionalFormatting>
  <conditionalFormatting sqref="I63:AL64">
    <cfRule type="expression" priority="30" dxfId="28" stopIfTrue="1">
      <formula>LEFT(I63,3)="Nie"</formula>
    </cfRule>
  </conditionalFormatting>
  <conditionalFormatting sqref="I193:AL204">
    <cfRule type="cellIs" priority="7" dxfId="10" operator="notBetween" stopIfTrue="1">
      <formula>-$D$192</formula>
      <formula>$D$192</formula>
    </cfRule>
    <cfRule type="cellIs" priority="91" dxfId="9" operator="notBetween" stopIfTrue="1">
      <formula>-$D$191</formula>
      <formula>$D$191</formula>
    </cfRule>
    <cfRule type="cellIs" priority="92" dxfId="8" operator="notBetween" stopIfTrue="1">
      <formula>-$D$190</formula>
      <formula>$D$190</formula>
    </cfRule>
  </conditionalFormatting>
  <conditionalFormatting sqref="I123:AL123">
    <cfRule type="cellIs" priority="4" dxfId="0" operator="between" stopIfTrue="1">
      <formula>0</formula>
      <formula>1000000000000</formula>
    </cfRule>
  </conditionalFormatting>
  <conditionalFormatting sqref="I124:AL126">
    <cfRule type="cellIs" priority="3" dxfId="0" operator="between" stopIfTrue="1">
      <formula>-1000000000000</formula>
      <formula>1000000000000</formula>
    </cfRule>
  </conditionalFormatting>
  <conditionalFormatting sqref="I121:AL122">
    <cfRule type="cellIs" priority="2" dxfId="6" operator="between" stopIfTrue="1">
      <formula>-1000000000000</formula>
      <formula>1000000000000</formula>
    </cfRule>
  </conditionalFormatting>
  <conditionalFormatting sqref="I127:AL171">
    <cfRule type="cellIs" priority="1" dxfId="5" operator="equal" stopIfTrue="1">
      <formula>"BŁĄD"</formula>
    </cfRule>
  </conditionalFormatting>
  <conditionalFormatting sqref="I185:AL188">
    <cfRule type="cellIs" priority="50" dxfId="4" operator="lessThan" stopIfTrue="1">
      <formula>$D$182</formula>
    </cfRule>
    <cfRule type="cellIs" priority="51" dxfId="3" operator="lessThan" stopIfTrue="1">
      <formula>$D$183</formula>
    </cfRule>
    <cfRule type="cellIs" priority="52" dxfId="2" operator="lessThan" stopIfTrue="1">
      <formula>$D$184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 alignWithMargins="0">
    <oddFooter>&amp;L&amp;"Czcionka tekstu podstawowego,Kursywa"&amp;8Wersja szablonu wydruku: 2013-03-1c&amp;C&amp;8Strona &amp;P z &amp;N&amp;R&amp;8Wydruk z dn.: &amp;D - &amp;T</oddFooter>
  </headerFooter>
  <rowBreaks count="2" manualBreakCount="2">
    <brk id="48" min="1" max="39" man="1"/>
    <brk id="75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5" customWidth="1"/>
    <col min="2" max="2" width="6.09765625" style="35" customWidth="1"/>
    <col min="3" max="3" width="46.3984375" style="36" customWidth="1"/>
    <col min="4" max="4" width="21" style="36" customWidth="1"/>
    <col min="5" max="5" width="19.8984375" style="36" customWidth="1"/>
    <col min="6" max="13" width="16.69921875" style="36" bestFit="1" customWidth="1"/>
    <col min="14" max="16384" width="9" style="36" customWidth="1"/>
  </cols>
  <sheetData>
    <row r="9" spans="2:34" ht="11.25">
      <c r="B9" s="35" t="s">
        <v>0</v>
      </c>
      <c r="C9" s="36" t="s">
        <v>1</v>
      </c>
      <c r="D9" s="36">
        <v>2013</v>
      </c>
      <c r="E9" s="36">
        <v>2013</v>
      </c>
      <c r="F9" s="36">
        <f>+E9+1</f>
        <v>2014</v>
      </c>
      <c r="G9" s="36">
        <f aca="true" t="shared" si="0" ref="G9:AF9">+F9+1</f>
        <v>2015</v>
      </c>
      <c r="H9" s="36">
        <f t="shared" si="0"/>
        <v>2016</v>
      </c>
      <c r="I9" s="36">
        <f t="shared" si="0"/>
        <v>2017</v>
      </c>
      <c r="J9" s="36">
        <f t="shared" si="0"/>
        <v>2018</v>
      </c>
      <c r="K9" s="36">
        <f t="shared" si="0"/>
        <v>2019</v>
      </c>
      <c r="L9" s="36">
        <f t="shared" si="0"/>
        <v>2020</v>
      </c>
      <c r="M9" s="36">
        <f t="shared" si="0"/>
        <v>2021</v>
      </c>
      <c r="N9" s="36">
        <f t="shared" si="0"/>
        <v>2022</v>
      </c>
      <c r="O9" s="36">
        <f t="shared" si="0"/>
        <v>2023</v>
      </c>
      <c r="P9" s="36">
        <f t="shared" si="0"/>
        <v>2024</v>
      </c>
      <c r="Q9" s="36">
        <f t="shared" si="0"/>
        <v>2025</v>
      </c>
      <c r="R9" s="36">
        <f t="shared" si="0"/>
        <v>2026</v>
      </c>
      <c r="S9" s="36">
        <f t="shared" si="0"/>
        <v>2027</v>
      </c>
      <c r="T9" s="36">
        <f t="shared" si="0"/>
        <v>2028</v>
      </c>
      <c r="U9" s="36">
        <f t="shared" si="0"/>
        <v>2029</v>
      </c>
      <c r="V9" s="36">
        <f t="shared" si="0"/>
        <v>2030</v>
      </c>
      <c r="W9" s="36">
        <f t="shared" si="0"/>
        <v>2031</v>
      </c>
      <c r="X9" s="36">
        <f t="shared" si="0"/>
        <v>2032</v>
      </c>
      <c r="Y9" s="36">
        <f t="shared" si="0"/>
        <v>2033</v>
      </c>
      <c r="Z9" s="36">
        <f t="shared" si="0"/>
        <v>2034</v>
      </c>
      <c r="AA9" s="36">
        <f t="shared" si="0"/>
        <v>2035</v>
      </c>
      <c r="AB9" s="36">
        <f t="shared" si="0"/>
        <v>2036</v>
      </c>
      <c r="AC9" s="36">
        <f t="shared" si="0"/>
        <v>2037</v>
      </c>
      <c r="AD9" s="36">
        <f t="shared" si="0"/>
        <v>2038</v>
      </c>
      <c r="AE9" s="36">
        <f t="shared" si="0"/>
        <v>2039</v>
      </c>
      <c r="AF9" s="36">
        <f t="shared" si="0"/>
        <v>2040</v>
      </c>
      <c r="AG9" s="36">
        <f>+AF9+1</f>
        <v>2041</v>
      </c>
      <c r="AH9" s="36">
        <f>+AG9+1</f>
        <v>2042</v>
      </c>
    </row>
    <row r="10" spans="1:34" ht="11.25">
      <c r="A10" s="35">
        <v>10</v>
      </c>
      <c r="B10" s="35">
        <v>1</v>
      </c>
      <c r="C10" s="36" t="s">
        <v>26</v>
      </c>
      <c r="D10" s="36" t="str">
        <f>+"rokprognozy="&amp;D$9&amp;" i lp="&amp;$A10</f>
        <v>rokprognozy=2013 i lp=10</v>
      </c>
      <c r="E10" s="36" t="str">
        <f>+"rokprognozy="&amp;E$9&amp;" i lp="&amp;$A10</f>
        <v>rokprognozy=2013 i lp=10</v>
      </c>
      <c r="F10" s="36" t="str">
        <f aca="true" t="shared" si="1" ref="F10:AG22">+"rokprognozy="&amp;F$9&amp;" i lp="&amp;$A10</f>
        <v>rokprognozy=2014 i lp=10</v>
      </c>
      <c r="G10" s="36" t="str">
        <f t="shared" si="1"/>
        <v>rokprognozy=2015 i lp=10</v>
      </c>
      <c r="H10" s="36" t="str">
        <f t="shared" si="1"/>
        <v>rokprognozy=2016 i lp=10</v>
      </c>
      <c r="I10" s="36" t="str">
        <f t="shared" si="1"/>
        <v>rokprognozy=2017 i lp=10</v>
      </c>
      <c r="J10" s="36" t="str">
        <f t="shared" si="1"/>
        <v>rokprognozy=2018 i lp=10</v>
      </c>
      <c r="K10" s="36" t="str">
        <f t="shared" si="1"/>
        <v>rokprognozy=2019 i lp=10</v>
      </c>
      <c r="L10" s="36" t="str">
        <f t="shared" si="1"/>
        <v>rokprognozy=2020 i lp=10</v>
      </c>
      <c r="M10" s="36" t="str">
        <f t="shared" si="1"/>
        <v>rokprognozy=2021 i lp=10</v>
      </c>
      <c r="N10" s="36" t="str">
        <f t="shared" si="1"/>
        <v>rokprognozy=2022 i lp=10</v>
      </c>
      <c r="O10" s="36" t="str">
        <f t="shared" si="1"/>
        <v>rokprognozy=2023 i lp=10</v>
      </c>
      <c r="P10" s="36" t="str">
        <f t="shared" si="1"/>
        <v>rokprognozy=2024 i lp=10</v>
      </c>
      <c r="Q10" s="36" t="str">
        <f t="shared" si="1"/>
        <v>rokprognozy=2025 i lp=10</v>
      </c>
      <c r="R10" s="36" t="str">
        <f t="shared" si="1"/>
        <v>rokprognozy=2026 i lp=10</v>
      </c>
      <c r="S10" s="36" t="str">
        <f t="shared" si="1"/>
        <v>rokprognozy=2027 i lp=10</v>
      </c>
      <c r="T10" s="36" t="str">
        <f t="shared" si="1"/>
        <v>rokprognozy=2028 i lp=10</v>
      </c>
      <c r="U10" s="36" t="str">
        <f t="shared" si="1"/>
        <v>rokprognozy=2029 i lp=10</v>
      </c>
      <c r="V10" s="36" t="str">
        <f t="shared" si="1"/>
        <v>rokprognozy=2030 i lp=10</v>
      </c>
      <c r="W10" s="36" t="str">
        <f t="shared" si="1"/>
        <v>rokprognozy=2031 i lp=10</v>
      </c>
      <c r="X10" s="36" t="str">
        <f t="shared" si="1"/>
        <v>rokprognozy=2032 i lp=10</v>
      </c>
      <c r="Y10" s="36" t="str">
        <f t="shared" si="1"/>
        <v>rokprognozy=2033 i lp=10</v>
      </c>
      <c r="Z10" s="36" t="str">
        <f t="shared" si="1"/>
        <v>rokprognozy=2034 i lp=10</v>
      </c>
      <c r="AA10" s="36" t="str">
        <f t="shared" si="1"/>
        <v>rokprognozy=2035 i lp=10</v>
      </c>
      <c r="AB10" s="36" t="str">
        <f t="shared" si="1"/>
        <v>rokprognozy=2036 i lp=10</v>
      </c>
      <c r="AC10" s="36" t="str">
        <f t="shared" si="1"/>
        <v>rokprognozy=2037 i lp=10</v>
      </c>
      <c r="AD10" s="36" t="str">
        <f t="shared" si="1"/>
        <v>rokprognozy=2038 i lp=10</v>
      </c>
      <c r="AE10" s="36" t="str">
        <f t="shared" si="1"/>
        <v>rokprognozy=2039 i lp=10</v>
      </c>
      <c r="AF10" s="36" t="str">
        <f t="shared" si="1"/>
        <v>rokprognozy=2040 i lp=10</v>
      </c>
      <c r="AG10" s="36" t="str">
        <f t="shared" si="1"/>
        <v>rokprognozy=2041 i lp=10</v>
      </c>
      <c r="AH10" s="36" t="str">
        <f aca="true" t="shared" si="2" ref="AH10:AH21">+"rokprognozy="&amp;AH$9&amp;" i lp="&amp;$A10</f>
        <v>rokprognozy=2042 i lp=10</v>
      </c>
    </row>
    <row r="11" spans="1:34" ht="11.25">
      <c r="A11" s="35">
        <v>20</v>
      </c>
      <c r="B11" s="35">
        <v>1.1</v>
      </c>
      <c r="C11" s="36" t="s">
        <v>40</v>
      </c>
      <c r="D11" s="36" t="str">
        <f aca="true" t="shared" si="3" ref="D11:D75">+"rokprognozy="&amp;D$9&amp;" i lp="&amp;$A11</f>
        <v>rokprognozy=2013 i lp=20</v>
      </c>
      <c r="E11" s="36" t="str">
        <f aca="true" t="shared" si="4" ref="E11:M36">+"rokprognozy="&amp;E$9&amp;" i lp="&amp;$A11</f>
        <v>rokprognozy=2013 i lp=20</v>
      </c>
      <c r="F11" s="36" t="str">
        <f t="shared" si="4"/>
        <v>rokprognozy=2014 i lp=20</v>
      </c>
      <c r="G11" s="36" t="str">
        <f t="shared" si="4"/>
        <v>rokprognozy=2015 i lp=20</v>
      </c>
      <c r="H11" s="36" t="str">
        <f t="shared" si="4"/>
        <v>rokprognozy=2016 i lp=20</v>
      </c>
      <c r="I11" s="36" t="str">
        <f t="shared" si="4"/>
        <v>rokprognozy=2017 i lp=20</v>
      </c>
      <c r="J11" s="36" t="str">
        <f t="shared" si="4"/>
        <v>rokprognozy=2018 i lp=20</v>
      </c>
      <c r="K11" s="36" t="str">
        <f t="shared" si="4"/>
        <v>rokprognozy=2019 i lp=20</v>
      </c>
      <c r="L11" s="36" t="str">
        <f t="shared" si="4"/>
        <v>rokprognozy=2020 i lp=20</v>
      </c>
      <c r="M11" s="36" t="str">
        <f t="shared" si="4"/>
        <v>rokprognozy=2021 i lp=20</v>
      </c>
      <c r="N11" s="36" t="str">
        <f t="shared" si="1"/>
        <v>rokprognozy=2022 i lp=20</v>
      </c>
      <c r="O11" s="36" t="str">
        <f t="shared" si="1"/>
        <v>rokprognozy=2023 i lp=20</v>
      </c>
      <c r="P11" s="36" t="str">
        <f t="shared" si="1"/>
        <v>rokprognozy=2024 i lp=20</v>
      </c>
      <c r="Q11" s="36" t="str">
        <f t="shared" si="1"/>
        <v>rokprognozy=2025 i lp=20</v>
      </c>
      <c r="R11" s="36" t="str">
        <f t="shared" si="1"/>
        <v>rokprognozy=2026 i lp=20</v>
      </c>
      <c r="S11" s="36" t="str">
        <f t="shared" si="1"/>
        <v>rokprognozy=2027 i lp=20</v>
      </c>
      <c r="T11" s="36" t="str">
        <f t="shared" si="1"/>
        <v>rokprognozy=2028 i lp=20</v>
      </c>
      <c r="U11" s="36" t="str">
        <f t="shared" si="1"/>
        <v>rokprognozy=2029 i lp=20</v>
      </c>
      <c r="V11" s="36" t="str">
        <f t="shared" si="1"/>
        <v>rokprognozy=2030 i lp=20</v>
      </c>
      <c r="W11" s="36" t="str">
        <f t="shared" si="1"/>
        <v>rokprognozy=2031 i lp=20</v>
      </c>
      <c r="X11" s="36" t="str">
        <f t="shared" si="1"/>
        <v>rokprognozy=2032 i lp=20</v>
      </c>
      <c r="Y11" s="36" t="str">
        <f t="shared" si="1"/>
        <v>rokprognozy=2033 i lp=20</v>
      </c>
      <c r="Z11" s="36" t="str">
        <f t="shared" si="1"/>
        <v>rokprognozy=2034 i lp=20</v>
      </c>
      <c r="AA11" s="36" t="str">
        <f t="shared" si="1"/>
        <v>rokprognozy=2035 i lp=20</v>
      </c>
      <c r="AB11" s="36" t="str">
        <f t="shared" si="1"/>
        <v>rokprognozy=2036 i lp=20</v>
      </c>
      <c r="AC11" s="36" t="str">
        <f t="shared" si="1"/>
        <v>rokprognozy=2037 i lp=20</v>
      </c>
      <c r="AD11" s="36" t="str">
        <f t="shared" si="1"/>
        <v>rokprognozy=2038 i lp=20</v>
      </c>
      <c r="AE11" s="36" t="str">
        <f t="shared" si="1"/>
        <v>rokprognozy=2039 i lp=20</v>
      </c>
      <c r="AF11" s="36" t="str">
        <f t="shared" si="1"/>
        <v>rokprognozy=2040 i lp=20</v>
      </c>
      <c r="AG11" s="36" t="str">
        <f t="shared" si="1"/>
        <v>rokprognozy=2041 i lp=20</v>
      </c>
      <c r="AH11" s="36" t="str">
        <f t="shared" si="2"/>
        <v>rokprognozy=2042 i lp=20</v>
      </c>
    </row>
    <row r="12" spans="1:34" ht="11.25">
      <c r="A12" s="35">
        <v>30</v>
      </c>
      <c r="B12" s="35" t="s">
        <v>41</v>
      </c>
      <c r="C12" s="36" t="s">
        <v>42</v>
      </c>
      <c r="D12" s="36" t="str">
        <f t="shared" si="3"/>
        <v>rokprognozy=2013 i lp=30</v>
      </c>
      <c r="E12" s="36" t="str">
        <f t="shared" si="4"/>
        <v>rokprognozy=2013 i lp=30</v>
      </c>
      <c r="F12" s="36" t="str">
        <f t="shared" si="4"/>
        <v>rokprognozy=2014 i lp=30</v>
      </c>
      <c r="G12" s="36" t="str">
        <f t="shared" si="4"/>
        <v>rokprognozy=2015 i lp=30</v>
      </c>
      <c r="H12" s="36" t="str">
        <f t="shared" si="4"/>
        <v>rokprognozy=2016 i lp=30</v>
      </c>
      <c r="I12" s="36" t="str">
        <f t="shared" si="4"/>
        <v>rokprognozy=2017 i lp=30</v>
      </c>
      <c r="J12" s="36" t="str">
        <f t="shared" si="4"/>
        <v>rokprognozy=2018 i lp=30</v>
      </c>
      <c r="K12" s="36" t="str">
        <f t="shared" si="4"/>
        <v>rokprognozy=2019 i lp=30</v>
      </c>
      <c r="L12" s="36" t="str">
        <f t="shared" si="4"/>
        <v>rokprognozy=2020 i lp=30</v>
      </c>
      <c r="M12" s="36" t="str">
        <f t="shared" si="4"/>
        <v>rokprognozy=2021 i lp=30</v>
      </c>
      <c r="N12" s="36" t="str">
        <f t="shared" si="1"/>
        <v>rokprognozy=2022 i lp=30</v>
      </c>
      <c r="O12" s="36" t="str">
        <f t="shared" si="1"/>
        <v>rokprognozy=2023 i lp=30</v>
      </c>
      <c r="P12" s="36" t="str">
        <f t="shared" si="1"/>
        <v>rokprognozy=2024 i lp=30</v>
      </c>
      <c r="Q12" s="36" t="str">
        <f t="shared" si="1"/>
        <v>rokprognozy=2025 i lp=30</v>
      </c>
      <c r="R12" s="36" t="str">
        <f t="shared" si="1"/>
        <v>rokprognozy=2026 i lp=30</v>
      </c>
      <c r="S12" s="36" t="str">
        <f t="shared" si="1"/>
        <v>rokprognozy=2027 i lp=30</v>
      </c>
      <c r="T12" s="36" t="str">
        <f t="shared" si="1"/>
        <v>rokprognozy=2028 i lp=30</v>
      </c>
      <c r="U12" s="36" t="str">
        <f t="shared" si="1"/>
        <v>rokprognozy=2029 i lp=30</v>
      </c>
      <c r="V12" s="36" t="str">
        <f t="shared" si="1"/>
        <v>rokprognozy=2030 i lp=30</v>
      </c>
      <c r="W12" s="36" t="str">
        <f t="shared" si="1"/>
        <v>rokprognozy=2031 i lp=30</v>
      </c>
      <c r="X12" s="36" t="str">
        <f t="shared" si="1"/>
        <v>rokprognozy=2032 i lp=30</v>
      </c>
      <c r="Y12" s="36" t="str">
        <f t="shared" si="1"/>
        <v>rokprognozy=2033 i lp=30</v>
      </c>
      <c r="Z12" s="36" t="str">
        <f t="shared" si="1"/>
        <v>rokprognozy=2034 i lp=30</v>
      </c>
      <c r="AA12" s="36" t="str">
        <f t="shared" si="1"/>
        <v>rokprognozy=2035 i lp=30</v>
      </c>
      <c r="AB12" s="36" t="str">
        <f t="shared" si="1"/>
        <v>rokprognozy=2036 i lp=30</v>
      </c>
      <c r="AC12" s="36" t="str">
        <f t="shared" si="1"/>
        <v>rokprognozy=2037 i lp=30</v>
      </c>
      <c r="AD12" s="36" t="str">
        <f t="shared" si="1"/>
        <v>rokprognozy=2038 i lp=30</v>
      </c>
      <c r="AE12" s="36" t="str">
        <f t="shared" si="1"/>
        <v>rokprognozy=2039 i lp=30</v>
      </c>
      <c r="AF12" s="36" t="str">
        <f t="shared" si="1"/>
        <v>rokprognozy=2040 i lp=30</v>
      </c>
      <c r="AG12" s="36" t="str">
        <f t="shared" si="1"/>
        <v>rokprognozy=2041 i lp=30</v>
      </c>
      <c r="AH12" s="36" t="str">
        <f t="shared" si="2"/>
        <v>rokprognozy=2042 i lp=30</v>
      </c>
    </row>
    <row r="13" spans="1:34" ht="11.25">
      <c r="A13" s="35">
        <v>40</v>
      </c>
      <c r="B13" s="35" t="s">
        <v>43</v>
      </c>
      <c r="C13" s="36" t="s">
        <v>44</v>
      </c>
      <c r="D13" s="36" t="str">
        <f t="shared" si="3"/>
        <v>rokprognozy=2013 i lp=40</v>
      </c>
      <c r="E13" s="36" t="str">
        <f t="shared" si="4"/>
        <v>rokprognozy=2013 i lp=40</v>
      </c>
      <c r="F13" s="36" t="str">
        <f t="shared" si="4"/>
        <v>rokprognozy=2014 i lp=40</v>
      </c>
      <c r="G13" s="36" t="str">
        <f t="shared" si="4"/>
        <v>rokprognozy=2015 i lp=40</v>
      </c>
      <c r="H13" s="36" t="str">
        <f t="shared" si="4"/>
        <v>rokprognozy=2016 i lp=40</v>
      </c>
      <c r="I13" s="36" t="str">
        <f t="shared" si="4"/>
        <v>rokprognozy=2017 i lp=40</v>
      </c>
      <c r="J13" s="36" t="str">
        <f t="shared" si="4"/>
        <v>rokprognozy=2018 i lp=40</v>
      </c>
      <c r="K13" s="36" t="str">
        <f t="shared" si="4"/>
        <v>rokprognozy=2019 i lp=40</v>
      </c>
      <c r="L13" s="36" t="str">
        <f t="shared" si="4"/>
        <v>rokprognozy=2020 i lp=40</v>
      </c>
      <c r="M13" s="36" t="str">
        <f t="shared" si="4"/>
        <v>rokprognozy=2021 i lp=40</v>
      </c>
      <c r="N13" s="36" t="str">
        <f t="shared" si="1"/>
        <v>rokprognozy=2022 i lp=40</v>
      </c>
      <c r="O13" s="36" t="str">
        <f t="shared" si="1"/>
        <v>rokprognozy=2023 i lp=40</v>
      </c>
      <c r="P13" s="36" t="str">
        <f t="shared" si="1"/>
        <v>rokprognozy=2024 i lp=40</v>
      </c>
      <c r="Q13" s="36" t="str">
        <f t="shared" si="1"/>
        <v>rokprognozy=2025 i lp=40</v>
      </c>
      <c r="R13" s="36" t="str">
        <f t="shared" si="1"/>
        <v>rokprognozy=2026 i lp=40</v>
      </c>
      <c r="S13" s="36" t="str">
        <f t="shared" si="1"/>
        <v>rokprognozy=2027 i lp=40</v>
      </c>
      <c r="T13" s="36" t="str">
        <f t="shared" si="1"/>
        <v>rokprognozy=2028 i lp=40</v>
      </c>
      <c r="U13" s="36" t="str">
        <f t="shared" si="1"/>
        <v>rokprognozy=2029 i lp=40</v>
      </c>
      <c r="V13" s="36" t="str">
        <f t="shared" si="1"/>
        <v>rokprognozy=2030 i lp=40</v>
      </c>
      <c r="W13" s="36" t="str">
        <f t="shared" si="1"/>
        <v>rokprognozy=2031 i lp=40</v>
      </c>
      <c r="X13" s="36" t="str">
        <f t="shared" si="1"/>
        <v>rokprognozy=2032 i lp=40</v>
      </c>
      <c r="Y13" s="36" t="str">
        <f t="shared" si="1"/>
        <v>rokprognozy=2033 i lp=40</v>
      </c>
      <c r="Z13" s="36" t="str">
        <f t="shared" si="1"/>
        <v>rokprognozy=2034 i lp=40</v>
      </c>
      <c r="AA13" s="36" t="str">
        <f t="shared" si="1"/>
        <v>rokprognozy=2035 i lp=40</v>
      </c>
      <c r="AB13" s="36" t="str">
        <f t="shared" si="1"/>
        <v>rokprognozy=2036 i lp=40</v>
      </c>
      <c r="AC13" s="36" t="str">
        <f t="shared" si="1"/>
        <v>rokprognozy=2037 i lp=40</v>
      </c>
      <c r="AD13" s="36" t="str">
        <f t="shared" si="1"/>
        <v>rokprognozy=2038 i lp=40</v>
      </c>
      <c r="AE13" s="36" t="str">
        <f t="shared" si="1"/>
        <v>rokprognozy=2039 i lp=40</v>
      </c>
      <c r="AF13" s="36" t="str">
        <f t="shared" si="1"/>
        <v>rokprognozy=2040 i lp=40</v>
      </c>
      <c r="AG13" s="36" t="str">
        <f t="shared" si="1"/>
        <v>rokprognozy=2041 i lp=40</v>
      </c>
      <c r="AH13" s="36" t="str">
        <f t="shared" si="2"/>
        <v>rokprognozy=2042 i lp=40</v>
      </c>
    </row>
    <row r="14" spans="1:34" ht="11.25">
      <c r="A14" s="35">
        <v>50</v>
      </c>
      <c r="B14" s="35" t="s">
        <v>45</v>
      </c>
      <c r="C14" s="36" t="s">
        <v>46</v>
      </c>
      <c r="D14" s="36" t="str">
        <f t="shared" si="3"/>
        <v>rokprognozy=2013 i lp=50</v>
      </c>
      <c r="E14" s="36" t="str">
        <f t="shared" si="4"/>
        <v>rokprognozy=2013 i lp=50</v>
      </c>
      <c r="F14" s="36" t="str">
        <f t="shared" si="4"/>
        <v>rokprognozy=2014 i lp=50</v>
      </c>
      <c r="G14" s="36" t="str">
        <f t="shared" si="4"/>
        <v>rokprognozy=2015 i lp=50</v>
      </c>
      <c r="H14" s="36" t="str">
        <f t="shared" si="4"/>
        <v>rokprognozy=2016 i lp=50</v>
      </c>
      <c r="I14" s="36" t="str">
        <f t="shared" si="4"/>
        <v>rokprognozy=2017 i lp=50</v>
      </c>
      <c r="J14" s="36" t="str">
        <f t="shared" si="4"/>
        <v>rokprognozy=2018 i lp=50</v>
      </c>
      <c r="K14" s="36" t="str">
        <f t="shared" si="4"/>
        <v>rokprognozy=2019 i lp=50</v>
      </c>
      <c r="L14" s="36" t="str">
        <f t="shared" si="4"/>
        <v>rokprognozy=2020 i lp=50</v>
      </c>
      <c r="M14" s="36" t="str">
        <f t="shared" si="4"/>
        <v>rokprognozy=2021 i lp=50</v>
      </c>
      <c r="N14" s="36" t="str">
        <f t="shared" si="1"/>
        <v>rokprognozy=2022 i lp=50</v>
      </c>
      <c r="O14" s="36" t="str">
        <f t="shared" si="1"/>
        <v>rokprognozy=2023 i lp=50</v>
      </c>
      <c r="P14" s="36" t="str">
        <f t="shared" si="1"/>
        <v>rokprognozy=2024 i lp=50</v>
      </c>
      <c r="Q14" s="36" t="str">
        <f t="shared" si="1"/>
        <v>rokprognozy=2025 i lp=50</v>
      </c>
      <c r="R14" s="36" t="str">
        <f t="shared" si="1"/>
        <v>rokprognozy=2026 i lp=50</v>
      </c>
      <c r="S14" s="36" t="str">
        <f t="shared" si="1"/>
        <v>rokprognozy=2027 i lp=50</v>
      </c>
      <c r="T14" s="36" t="str">
        <f t="shared" si="1"/>
        <v>rokprognozy=2028 i lp=50</v>
      </c>
      <c r="U14" s="36" t="str">
        <f t="shared" si="1"/>
        <v>rokprognozy=2029 i lp=50</v>
      </c>
      <c r="V14" s="36" t="str">
        <f t="shared" si="1"/>
        <v>rokprognozy=2030 i lp=50</v>
      </c>
      <c r="W14" s="36" t="str">
        <f t="shared" si="1"/>
        <v>rokprognozy=2031 i lp=50</v>
      </c>
      <c r="X14" s="36" t="str">
        <f t="shared" si="1"/>
        <v>rokprognozy=2032 i lp=50</v>
      </c>
      <c r="Y14" s="36" t="str">
        <f t="shared" si="1"/>
        <v>rokprognozy=2033 i lp=50</v>
      </c>
      <c r="Z14" s="36" t="str">
        <f t="shared" si="1"/>
        <v>rokprognozy=2034 i lp=50</v>
      </c>
      <c r="AA14" s="36" t="str">
        <f t="shared" si="1"/>
        <v>rokprognozy=2035 i lp=50</v>
      </c>
      <c r="AB14" s="36" t="str">
        <f t="shared" si="1"/>
        <v>rokprognozy=2036 i lp=50</v>
      </c>
      <c r="AC14" s="36" t="str">
        <f t="shared" si="1"/>
        <v>rokprognozy=2037 i lp=50</v>
      </c>
      <c r="AD14" s="36" t="str">
        <f t="shared" si="1"/>
        <v>rokprognozy=2038 i lp=50</v>
      </c>
      <c r="AE14" s="36" t="str">
        <f t="shared" si="1"/>
        <v>rokprognozy=2039 i lp=50</v>
      </c>
      <c r="AF14" s="36" t="str">
        <f t="shared" si="1"/>
        <v>rokprognozy=2040 i lp=50</v>
      </c>
      <c r="AG14" s="36" t="str">
        <f t="shared" si="1"/>
        <v>rokprognozy=2041 i lp=50</v>
      </c>
      <c r="AH14" s="36" t="str">
        <f t="shared" si="2"/>
        <v>rokprognozy=2042 i lp=50</v>
      </c>
    </row>
    <row r="15" spans="1:34" ht="11.25">
      <c r="A15" s="35">
        <v>60</v>
      </c>
      <c r="B15" s="35" t="s">
        <v>47</v>
      </c>
      <c r="C15" s="36" t="s">
        <v>48</v>
      </c>
      <c r="D15" s="36" t="str">
        <f t="shared" si="3"/>
        <v>rokprognozy=2013 i lp=60</v>
      </c>
      <c r="E15" s="36" t="str">
        <f t="shared" si="4"/>
        <v>rokprognozy=2013 i lp=60</v>
      </c>
      <c r="F15" s="36" t="str">
        <f t="shared" si="4"/>
        <v>rokprognozy=2014 i lp=60</v>
      </c>
      <c r="G15" s="36" t="str">
        <f t="shared" si="4"/>
        <v>rokprognozy=2015 i lp=60</v>
      </c>
      <c r="H15" s="36" t="str">
        <f t="shared" si="4"/>
        <v>rokprognozy=2016 i lp=60</v>
      </c>
      <c r="I15" s="36" t="str">
        <f t="shared" si="4"/>
        <v>rokprognozy=2017 i lp=60</v>
      </c>
      <c r="J15" s="36" t="str">
        <f t="shared" si="4"/>
        <v>rokprognozy=2018 i lp=60</v>
      </c>
      <c r="K15" s="36" t="str">
        <f t="shared" si="4"/>
        <v>rokprognozy=2019 i lp=60</v>
      </c>
      <c r="L15" s="36" t="str">
        <f t="shared" si="4"/>
        <v>rokprognozy=2020 i lp=60</v>
      </c>
      <c r="M15" s="36" t="str">
        <f t="shared" si="4"/>
        <v>rokprognozy=2021 i lp=60</v>
      </c>
      <c r="N15" s="36" t="str">
        <f t="shared" si="1"/>
        <v>rokprognozy=2022 i lp=60</v>
      </c>
      <c r="O15" s="36" t="str">
        <f t="shared" si="1"/>
        <v>rokprognozy=2023 i lp=60</v>
      </c>
      <c r="P15" s="36" t="str">
        <f t="shared" si="1"/>
        <v>rokprognozy=2024 i lp=60</v>
      </c>
      <c r="Q15" s="36" t="str">
        <f t="shared" si="1"/>
        <v>rokprognozy=2025 i lp=60</v>
      </c>
      <c r="R15" s="36" t="str">
        <f t="shared" si="1"/>
        <v>rokprognozy=2026 i lp=60</v>
      </c>
      <c r="S15" s="36" t="str">
        <f t="shared" si="1"/>
        <v>rokprognozy=2027 i lp=60</v>
      </c>
      <c r="T15" s="36" t="str">
        <f t="shared" si="1"/>
        <v>rokprognozy=2028 i lp=60</v>
      </c>
      <c r="U15" s="36" t="str">
        <f t="shared" si="1"/>
        <v>rokprognozy=2029 i lp=60</v>
      </c>
      <c r="V15" s="36" t="str">
        <f t="shared" si="1"/>
        <v>rokprognozy=2030 i lp=60</v>
      </c>
      <c r="W15" s="36" t="str">
        <f t="shared" si="1"/>
        <v>rokprognozy=2031 i lp=60</v>
      </c>
      <c r="X15" s="36" t="str">
        <f t="shared" si="1"/>
        <v>rokprognozy=2032 i lp=60</v>
      </c>
      <c r="Y15" s="36" t="str">
        <f t="shared" si="1"/>
        <v>rokprognozy=2033 i lp=60</v>
      </c>
      <c r="Z15" s="36" t="str">
        <f t="shared" si="1"/>
        <v>rokprognozy=2034 i lp=60</v>
      </c>
      <c r="AA15" s="36" t="str">
        <f t="shared" si="1"/>
        <v>rokprognozy=2035 i lp=60</v>
      </c>
      <c r="AB15" s="36" t="str">
        <f t="shared" si="1"/>
        <v>rokprognozy=2036 i lp=60</v>
      </c>
      <c r="AC15" s="36" t="str">
        <f t="shared" si="1"/>
        <v>rokprognozy=2037 i lp=60</v>
      </c>
      <c r="AD15" s="36" t="str">
        <f t="shared" si="1"/>
        <v>rokprognozy=2038 i lp=60</v>
      </c>
      <c r="AE15" s="36" t="str">
        <f t="shared" si="1"/>
        <v>rokprognozy=2039 i lp=60</v>
      </c>
      <c r="AF15" s="36" t="str">
        <f t="shared" si="1"/>
        <v>rokprognozy=2040 i lp=60</v>
      </c>
      <c r="AG15" s="36" t="str">
        <f t="shared" si="1"/>
        <v>rokprognozy=2041 i lp=60</v>
      </c>
      <c r="AH15" s="36" t="str">
        <f t="shared" si="2"/>
        <v>rokprognozy=2042 i lp=60</v>
      </c>
    </row>
    <row r="16" spans="1:34" ht="11.25">
      <c r="A16" s="35">
        <v>70</v>
      </c>
      <c r="B16" s="35" t="s">
        <v>49</v>
      </c>
      <c r="C16" s="36" t="s">
        <v>50</v>
      </c>
      <c r="D16" s="36" t="str">
        <f t="shared" si="3"/>
        <v>rokprognozy=2013 i lp=70</v>
      </c>
      <c r="E16" s="36" t="str">
        <f t="shared" si="4"/>
        <v>rokprognozy=2013 i lp=70</v>
      </c>
      <c r="F16" s="36" t="str">
        <f t="shared" si="4"/>
        <v>rokprognozy=2014 i lp=70</v>
      </c>
      <c r="G16" s="36" t="str">
        <f t="shared" si="4"/>
        <v>rokprognozy=2015 i lp=70</v>
      </c>
      <c r="H16" s="36" t="str">
        <f t="shared" si="4"/>
        <v>rokprognozy=2016 i lp=70</v>
      </c>
      <c r="I16" s="36" t="str">
        <f t="shared" si="4"/>
        <v>rokprognozy=2017 i lp=70</v>
      </c>
      <c r="J16" s="36" t="str">
        <f t="shared" si="4"/>
        <v>rokprognozy=2018 i lp=70</v>
      </c>
      <c r="K16" s="36" t="str">
        <f t="shared" si="4"/>
        <v>rokprognozy=2019 i lp=70</v>
      </c>
      <c r="L16" s="36" t="str">
        <f t="shared" si="4"/>
        <v>rokprognozy=2020 i lp=70</v>
      </c>
      <c r="M16" s="36" t="str">
        <f t="shared" si="4"/>
        <v>rokprognozy=2021 i lp=70</v>
      </c>
      <c r="N16" s="36" t="str">
        <f t="shared" si="1"/>
        <v>rokprognozy=2022 i lp=70</v>
      </c>
      <c r="O16" s="36" t="str">
        <f t="shared" si="1"/>
        <v>rokprognozy=2023 i lp=70</v>
      </c>
      <c r="P16" s="36" t="str">
        <f t="shared" si="1"/>
        <v>rokprognozy=2024 i lp=70</v>
      </c>
      <c r="Q16" s="36" t="str">
        <f t="shared" si="1"/>
        <v>rokprognozy=2025 i lp=70</v>
      </c>
      <c r="R16" s="36" t="str">
        <f t="shared" si="1"/>
        <v>rokprognozy=2026 i lp=70</v>
      </c>
      <c r="S16" s="36" t="str">
        <f t="shared" si="1"/>
        <v>rokprognozy=2027 i lp=70</v>
      </c>
      <c r="T16" s="36" t="str">
        <f t="shared" si="1"/>
        <v>rokprognozy=2028 i lp=70</v>
      </c>
      <c r="U16" s="36" t="str">
        <f t="shared" si="1"/>
        <v>rokprognozy=2029 i lp=70</v>
      </c>
      <c r="V16" s="36" t="str">
        <f t="shared" si="1"/>
        <v>rokprognozy=2030 i lp=70</v>
      </c>
      <c r="W16" s="36" t="str">
        <f t="shared" si="1"/>
        <v>rokprognozy=2031 i lp=70</v>
      </c>
      <c r="X16" s="36" t="str">
        <f t="shared" si="1"/>
        <v>rokprognozy=2032 i lp=70</v>
      </c>
      <c r="Y16" s="36" t="str">
        <f t="shared" si="1"/>
        <v>rokprognozy=2033 i lp=70</v>
      </c>
      <c r="Z16" s="36" t="str">
        <f t="shared" si="1"/>
        <v>rokprognozy=2034 i lp=70</v>
      </c>
      <c r="AA16" s="36" t="str">
        <f t="shared" si="1"/>
        <v>rokprognozy=2035 i lp=70</v>
      </c>
      <c r="AB16" s="36" t="str">
        <f t="shared" si="1"/>
        <v>rokprognozy=2036 i lp=70</v>
      </c>
      <c r="AC16" s="36" t="str">
        <f t="shared" si="1"/>
        <v>rokprognozy=2037 i lp=70</v>
      </c>
      <c r="AD16" s="36" t="str">
        <f t="shared" si="1"/>
        <v>rokprognozy=2038 i lp=70</v>
      </c>
      <c r="AE16" s="36" t="str">
        <f t="shared" si="1"/>
        <v>rokprognozy=2039 i lp=70</v>
      </c>
      <c r="AF16" s="36" t="str">
        <f t="shared" si="1"/>
        <v>rokprognozy=2040 i lp=70</v>
      </c>
      <c r="AG16" s="36" t="str">
        <f t="shared" si="1"/>
        <v>rokprognozy=2041 i lp=70</v>
      </c>
      <c r="AH16" s="36" t="str">
        <f t="shared" si="2"/>
        <v>rokprognozy=2042 i lp=70</v>
      </c>
    </row>
    <row r="17" spans="1:34" ht="11.25">
      <c r="A17" s="35">
        <v>80</v>
      </c>
      <c r="B17" s="35" t="s">
        <v>51</v>
      </c>
      <c r="C17" s="36" t="s">
        <v>52</v>
      </c>
      <c r="D17" s="36" t="str">
        <f t="shared" si="3"/>
        <v>rokprognozy=2013 i lp=80</v>
      </c>
      <c r="E17" s="36" t="str">
        <f t="shared" si="4"/>
        <v>rokprognozy=2013 i lp=80</v>
      </c>
      <c r="F17" s="36" t="str">
        <f t="shared" si="4"/>
        <v>rokprognozy=2014 i lp=80</v>
      </c>
      <c r="G17" s="36" t="str">
        <f t="shared" si="4"/>
        <v>rokprognozy=2015 i lp=80</v>
      </c>
      <c r="H17" s="36" t="str">
        <f t="shared" si="4"/>
        <v>rokprognozy=2016 i lp=80</v>
      </c>
      <c r="I17" s="36" t="str">
        <f t="shared" si="4"/>
        <v>rokprognozy=2017 i lp=80</v>
      </c>
      <c r="J17" s="36" t="str">
        <f t="shared" si="4"/>
        <v>rokprognozy=2018 i lp=80</v>
      </c>
      <c r="K17" s="36" t="str">
        <f t="shared" si="4"/>
        <v>rokprognozy=2019 i lp=80</v>
      </c>
      <c r="L17" s="36" t="str">
        <f t="shared" si="4"/>
        <v>rokprognozy=2020 i lp=80</v>
      </c>
      <c r="M17" s="36" t="str">
        <f t="shared" si="4"/>
        <v>rokprognozy=2021 i lp=80</v>
      </c>
      <c r="N17" s="36" t="str">
        <f t="shared" si="1"/>
        <v>rokprognozy=2022 i lp=80</v>
      </c>
      <c r="O17" s="36" t="str">
        <f t="shared" si="1"/>
        <v>rokprognozy=2023 i lp=80</v>
      </c>
      <c r="P17" s="36" t="str">
        <f t="shared" si="1"/>
        <v>rokprognozy=2024 i lp=80</v>
      </c>
      <c r="Q17" s="36" t="str">
        <f t="shared" si="1"/>
        <v>rokprognozy=2025 i lp=80</v>
      </c>
      <c r="R17" s="36" t="str">
        <f t="shared" si="1"/>
        <v>rokprognozy=2026 i lp=80</v>
      </c>
      <c r="S17" s="36" t="str">
        <f t="shared" si="1"/>
        <v>rokprognozy=2027 i lp=80</v>
      </c>
      <c r="T17" s="36" t="str">
        <f t="shared" si="1"/>
        <v>rokprognozy=2028 i lp=80</v>
      </c>
      <c r="U17" s="36" t="str">
        <f t="shared" si="1"/>
        <v>rokprognozy=2029 i lp=80</v>
      </c>
      <c r="V17" s="36" t="str">
        <f t="shared" si="1"/>
        <v>rokprognozy=2030 i lp=80</v>
      </c>
      <c r="W17" s="36" t="str">
        <f t="shared" si="1"/>
        <v>rokprognozy=2031 i lp=80</v>
      </c>
      <c r="X17" s="36" t="str">
        <f t="shared" si="1"/>
        <v>rokprognozy=2032 i lp=80</v>
      </c>
      <c r="Y17" s="36" t="str">
        <f t="shared" si="1"/>
        <v>rokprognozy=2033 i lp=80</v>
      </c>
      <c r="Z17" s="36" t="str">
        <f t="shared" si="1"/>
        <v>rokprognozy=2034 i lp=80</v>
      </c>
      <c r="AA17" s="36" t="str">
        <f t="shared" si="1"/>
        <v>rokprognozy=2035 i lp=80</v>
      </c>
      <c r="AB17" s="36" t="str">
        <f t="shared" si="1"/>
        <v>rokprognozy=2036 i lp=80</v>
      </c>
      <c r="AC17" s="36" t="str">
        <f t="shared" si="1"/>
        <v>rokprognozy=2037 i lp=80</v>
      </c>
      <c r="AD17" s="36" t="str">
        <f t="shared" si="1"/>
        <v>rokprognozy=2038 i lp=80</v>
      </c>
      <c r="AE17" s="36" t="str">
        <f t="shared" si="1"/>
        <v>rokprognozy=2039 i lp=80</v>
      </c>
      <c r="AF17" s="36" t="str">
        <f t="shared" si="1"/>
        <v>rokprognozy=2040 i lp=80</v>
      </c>
      <c r="AG17" s="36" t="str">
        <f t="shared" si="1"/>
        <v>rokprognozy=2041 i lp=80</v>
      </c>
      <c r="AH17" s="36" t="str">
        <f t="shared" si="2"/>
        <v>rokprognozy=2042 i lp=80</v>
      </c>
    </row>
    <row r="18" spans="1:34" ht="11.25">
      <c r="A18" s="35">
        <v>90</v>
      </c>
      <c r="B18" s="35">
        <v>1.2</v>
      </c>
      <c r="C18" s="36" t="s">
        <v>53</v>
      </c>
      <c r="D18" s="36" t="str">
        <f t="shared" si="3"/>
        <v>rokprognozy=2013 i lp=90</v>
      </c>
      <c r="E18" s="36" t="str">
        <f t="shared" si="4"/>
        <v>rokprognozy=2013 i lp=90</v>
      </c>
      <c r="F18" s="36" t="str">
        <f t="shared" si="4"/>
        <v>rokprognozy=2014 i lp=90</v>
      </c>
      <c r="G18" s="36" t="str">
        <f t="shared" si="4"/>
        <v>rokprognozy=2015 i lp=90</v>
      </c>
      <c r="H18" s="36" t="str">
        <f t="shared" si="4"/>
        <v>rokprognozy=2016 i lp=90</v>
      </c>
      <c r="I18" s="36" t="str">
        <f t="shared" si="4"/>
        <v>rokprognozy=2017 i lp=90</v>
      </c>
      <c r="J18" s="36" t="str">
        <f t="shared" si="4"/>
        <v>rokprognozy=2018 i lp=90</v>
      </c>
      <c r="K18" s="36" t="str">
        <f t="shared" si="4"/>
        <v>rokprognozy=2019 i lp=90</v>
      </c>
      <c r="L18" s="36" t="str">
        <f t="shared" si="4"/>
        <v>rokprognozy=2020 i lp=90</v>
      </c>
      <c r="M18" s="36" t="str">
        <f t="shared" si="4"/>
        <v>rokprognozy=2021 i lp=90</v>
      </c>
      <c r="N18" s="36" t="str">
        <f t="shared" si="1"/>
        <v>rokprognozy=2022 i lp=90</v>
      </c>
      <c r="O18" s="36" t="str">
        <f t="shared" si="1"/>
        <v>rokprognozy=2023 i lp=90</v>
      </c>
      <c r="P18" s="36" t="str">
        <f t="shared" si="1"/>
        <v>rokprognozy=2024 i lp=90</v>
      </c>
      <c r="Q18" s="36" t="str">
        <f t="shared" si="1"/>
        <v>rokprognozy=2025 i lp=90</v>
      </c>
      <c r="R18" s="36" t="str">
        <f t="shared" si="1"/>
        <v>rokprognozy=2026 i lp=90</v>
      </c>
      <c r="S18" s="36" t="str">
        <f t="shared" si="1"/>
        <v>rokprognozy=2027 i lp=90</v>
      </c>
      <c r="T18" s="36" t="str">
        <f t="shared" si="1"/>
        <v>rokprognozy=2028 i lp=90</v>
      </c>
      <c r="U18" s="36" t="str">
        <f t="shared" si="1"/>
        <v>rokprognozy=2029 i lp=90</v>
      </c>
      <c r="V18" s="36" t="str">
        <f t="shared" si="1"/>
        <v>rokprognozy=2030 i lp=90</v>
      </c>
      <c r="W18" s="36" t="str">
        <f t="shared" si="1"/>
        <v>rokprognozy=2031 i lp=90</v>
      </c>
      <c r="X18" s="36" t="str">
        <f t="shared" si="1"/>
        <v>rokprognozy=2032 i lp=90</v>
      </c>
      <c r="Y18" s="36" t="str">
        <f t="shared" si="1"/>
        <v>rokprognozy=2033 i lp=90</v>
      </c>
      <c r="Z18" s="36" t="str">
        <f t="shared" si="1"/>
        <v>rokprognozy=2034 i lp=90</v>
      </c>
      <c r="AA18" s="36" t="str">
        <f t="shared" si="1"/>
        <v>rokprognozy=2035 i lp=90</v>
      </c>
      <c r="AB18" s="36" t="str">
        <f t="shared" si="1"/>
        <v>rokprognozy=2036 i lp=90</v>
      </c>
      <c r="AC18" s="36" t="str">
        <f t="shared" si="1"/>
        <v>rokprognozy=2037 i lp=90</v>
      </c>
      <c r="AD18" s="36" t="str">
        <f t="shared" si="1"/>
        <v>rokprognozy=2038 i lp=90</v>
      </c>
      <c r="AE18" s="36" t="str">
        <f t="shared" si="1"/>
        <v>rokprognozy=2039 i lp=90</v>
      </c>
      <c r="AF18" s="36" t="str">
        <f t="shared" si="1"/>
        <v>rokprognozy=2040 i lp=90</v>
      </c>
      <c r="AG18" s="36" t="str">
        <f t="shared" si="1"/>
        <v>rokprognozy=2041 i lp=90</v>
      </c>
      <c r="AH18" s="36" t="str">
        <f t="shared" si="2"/>
        <v>rokprognozy=2042 i lp=90</v>
      </c>
    </row>
    <row r="19" spans="1:34" ht="11.25">
      <c r="A19" s="35">
        <v>100</v>
      </c>
      <c r="B19" s="35" t="s">
        <v>54</v>
      </c>
      <c r="C19" s="36" t="s">
        <v>55</v>
      </c>
      <c r="D19" s="36" t="str">
        <f t="shared" si="3"/>
        <v>rokprognozy=2013 i lp=100</v>
      </c>
      <c r="E19" s="36" t="str">
        <f t="shared" si="4"/>
        <v>rokprognozy=2013 i lp=100</v>
      </c>
      <c r="F19" s="36" t="str">
        <f t="shared" si="4"/>
        <v>rokprognozy=2014 i lp=100</v>
      </c>
      <c r="G19" s="36" t="str">
        <f t="shared" si="4"/>
        <v>rokprognozy=2015 i lp=100</v>
      </c>
      <c r="H19" s="36" t="str">
        <f t="shared" si="4"/>
        <v>rokprognozy=2016 i lp=100</v>
      </c>
      <c r="I19" s="36" t="str">
        <f t="shared" si="4"/>
        <v>rokprognozy=2017 i lp=100</v>
      </c>
      <c r="J19" s="36" t="str">
        <f t="shared" si="4"/>
        <v>rokprognozy=2018 i lp=100</v>
      </c>
      <c r="K19" s="36" t="str">
        <f t="shared" si="4"/>
        <v>rokprognozy=2019 i lp=100</v>
      </c>
      <c r="L19" s="36" t="str">
        <f t="shared" si="4"/>
        <v>rokprognozy=2020 i lp=100</v>
      </c>
      <c r="M19" s="36" t="str">
        <f t="shared" si="4"/>
        <v>rokprognozy=2021 i lp=100</v>
      </c>
      <c r="N19" s="36" t="str">
        <f t="shared" si="1"/>
        <v>rokprognozy=2022 i lp=100</v>
      </c>
      <c r="O19" s="36" t="str">
        <f t="shared" si="1"/>
        <v>rokprognozy=2023 i lp=100</v>
      </c>
      <c r="P19" s="36" t="str">
        <f t="shared" si="1"/>
        <v>rokprognozy=2024 i lp=100</v>
      </c>
      <c r="Q19" s="36" t="str">
        <f t="shared" si="1"/>
        <v>rokprognozy=2025 i lp=100</v>
      </c>
      <c r="R19" s="36" t="str">
        <f t="shared" si="1"/>
        <v>rokprognozy=2026 i lp=100</v>
      </c>
      <c r="S19" s="36" t="str">
        <f t="shared" si="1"/>
        <v>rokprognozy=2027 i lp=100</v>
      </c>
      <c r="T19" s="36" t="str">
        <f t="shared" si="1"/>
        <v>rokprognozy=2028 i lp=100</v>
      </c>
      <c r="U19" s="36" t="str">
        <f t="shared" si="1"/>
        <v>rokprognozy=2029 i lp=100</v>
      </c>
      <c r="V19" s="36" t="str">
        <f t="shared" si="1"/>
        <v>rokprognozy=2030 i lp=100</v>
      </c>
      <c r="W19" s="36" t="str">
        <f t="shared" si="1"/>
        <v>rokprognozy=2031 i lp=100</v>
      </c>
      <c r="X19" s="36" t="str">
        <f t="shared" si="1"/>
        <v>rokprognozy=2032 i lp=100</v>
      </c>
      <c r="Y19" s="36" t="str">
        <f t="shared" si="1"/>
        <v>rokprognozy=2033 i lp=100</v>
      </c>
      <c r="Z19" s="36" t="str">
        <f t="shared" si="1"/>
        <v>rokprognozy=2034 i lp=100</v>
      </c>
      <c r="AA19" s="36" t="str">
        <f t="shared" si="1"/>
        <v>rokprognozy=2035 i lp=100</v>
      </c>
      <c r="AB19" s="36" t="str">
        <f t="shared" si="1"/>
        <v>rokprognozy=2036 i lp=100</v>
      </c>
      <c r="AC19" s="36" t="str">
        <f t="shared" si="1"/>
        <v>rokprognozy=2037 i lp=100</v>
      </c>
      <c r="AD19" s="36" t="str">
        <f t="shared" si="1"/>
        <v>rokprognozy=2038 i lp=100</v>
      </c>
      <c r="AE19" s="36" t="str">
        <f t="shared" si="1"/>
        <v>rokprognozy=2039 i lp=100</v>
      </c>
      <c r="AF19" s="36" t="str">
        <f t="shared" si="1"/>
        <v>rokprognozy=2040 i lp=100</v>
      </c>
      <c r="AG19" s="36" t="str">
        <f t="shared" si="1"/>
        <v>rokprognozy=2041 i lp=100</v>
      </c>
      <c r="AH19" s="36" t="str">
        <f t="shared" si="2"/>
        <v>rokprognozy=2042 i lp=100</v>
      </c>
    </row>
    <row r="20" spans="1:34" ht="11.25">
      <c r="A20" s="35">
        <v>110</v>
      </c>
      <c r="B20" s="35" t="s">
        <v>56</v>
      </c>
      <c r="C20" s="36" t="s">
        <v>57</v>
      </c>
      <c r="D20" s="36" t="str">
        <f t="shared" si="3"/>
        <v>rokprognozy=2013 i lp=110</v>
      </c>
      <c r="E20" s="36" t="str">
        <f t="shared" si="4"/>
        <v>rokprognozy=2013 i lp=110</v>
      </c>
      <c r="F20" s="36" t="str">
        <f t="shared" si="4"/>
        <v>rokprognozy=2014 i lp=110</v>
      </c>
      <c r="G20" s="36" t="str">
        <f t="shared" si="4"/>
        <v>rokprognozy=2015 i lp=110</v>
      </c>
      <c r="H20" s="36" t="str">
        <f t="shared" si="4"/>
        <v>rokprognozy=2016 i lp=110</v>
      </c>
      <c r="I20" s="36" t="str">
        <f t="shared" si="4"/>
        <v>rokprognozy=2017 i lp=110</v>
      </c>
      <c r="J20" s="36" t="str">
        <f t="shared" si="4"/>
        <v>rokprognozy=2018 i lp=110</v>
      </c>
      <c r="K20" s="36" t="str">
        <f t="shared" si="4"/>
        <v>rokprognozy=2019 i lp=110</v>
      </c>
      <c r="L20" s="36" t="str">
        <f t="shared" si="4"/>
        <v>rokprognozy=2020 i lp=110</v>
      </c>
      <c r="M20" s="36" t="str">
        <f t="shared" si="4"/>
        <v>rokprognozy=2021 i lp=110</v>
      </c>
      <c r="N20" s="36" t="str">
        <f t="shared" si="1"/>
        <v>rokprognozy=2022 i lp=110</v>
      </c>
      <c r="O20" s="36" t="str">
        <f t="shared" si="1"/>
        <v>rokprognozy=2023 i lp=110</v>
      </c>
      <c r="P20" s="36" t="str">
        <f t="shared" si="1"/>
        <v>rokprognozy=2024 i lp=110</v>
      </c>
      <c r="Q20" s="36" t="str">
        <f t="shared" si="1"/>
        <v>rokprognozy=2025 i lp=110</v>
      </c>
      <c r="R20" s="36" t="str">
        <f t="shared" si="1"/>
        <v>rokprognozy=2026 i lp=110</v>
      </c>
      <c r="S20" s="36" t="str">
        <f t="shared" si="1"/>
        <v>rokprognozy=2027 i lp=110</v>
      </c>
      <c r="T20" s="36" t="str">
        <f t="shared" si="1"/>
        <v>rokprognozy=2028 i lp=110</v>
      </c>
      <c r="U20" s="36" t="str">
        <f t="shared" si="1"/>
        <v>rokprognozy=2029 i lp=110</v>
      </c>
      <c r="V20" s="36" t="str">
        <f t="shared" si="1"/>
        <v>rokprognozy=2030 i lp=110</v>
      </c>
      <c r="W20" s="36" t="str">
        <f t="shared" si="1"/>
        <v>rokprognozy=2031 i lp=110</v>
      </c>
      <c r="X20" s="36" t="str">
        <f t="shared" si="1"/>
        <v>rokprognozy=2032 i lp=110</v>
      </c>
      <c r="Y20" s="36" t="str">
        <f t="shared" si="1"/>
        <v>rokprognozy=2033 i lp=110</v>
      </c>
      <c r="Z20" s="36" t="str">
        <f t="shared" si="1"/>
        <v>rokprognozy=2034 i lp=110</v>
      </c>
      <c r="AA20" s="36" t="str">
        <f t="shared" si="1"/>
        <v>rokprognozy=2035 i lp=110</v>
      </c>
      <c r="AB20" s="36" t="str">
        <f t="shared" si="1"/>
        <v>rokprognozy=2036 i lp=110</v>
      </c>
      <c r="AC20" s="36" t="str">
        <f t="shared" si="1"/>
        <v>rokprognozy=2037 i lp=110</v>
      </c>
      <c r="AD20" s="36" t="str">
        <f t="shared" si="1"/>
        <v>rokprognozy=2038 i lp=110</v>
      </c>
      <c r="AE20" s="36" t="str">
        <f t="shared" si="1"/>
        <v>rokprognozy=2039 i lp=110</v>
      </c>
      <c r="AF20" s="36" t="str">
        <f t="shared" si="1"/>
        <v>rokprognozy=2040 i lp=110</v>
      </c>
      <c r="AG20" s="36" t="str">
        <f t="shared" si="1"/>
        <v>rokprognozy=2041 i lp=110</v>
      </c>
      <c r="AH20" s="36" t="str">
        <f t="shared" si="2"/>
        <v>rokprognozy=2042 i lp=110</v>
      </c>
    </row>
    <row r="21" spans="1:34" ht="11.25">
      <c r="A21" s="35">
        <v>120</v>
      </c>
      <c r="B21" s="35">
        <v>2</v>
      </c>
      <c r="C21" s="36" t="s">
        <v>21</v>
      </c>
      <c r="D21" s="36" t="str">
        <f t="shared" si="3"/>
        <v>rokprognozy=2013 i lp=120</v>
      </c>
      <c r="E21" s="36" t="str">
        <f t="shared" si="4"/>
        <v>rokprognozy=2013 i lp=120</v>
      </c>
      <c r="F21" s="36" t="str">
        <f t="shared" si="4"/>
        <v>rokprognozy=2014 i lp=120</v>
      </c>
      <c r="G21" s="36" t="str">
        <f t="shared" si="4"/>
        <v>rokprognozy=2015 i lp=120</v>
      </c>
      <c r="H21" s="36" t="str">
        <f t="shared" si="4"/>
        <v>rokprognozy=2016 i lp=120</v>
      </c>
      <c r="I21" s="36" t="str">
        <f t="shared" si="4"/>
        <v>rokprognozy=2017 i lp=120</v>
      </c>
      <c r="J21" s="36" t="str">
        <f t="shared" si="4"/>
        <v>rokprognozy=2018 i lp=120</v>
      </c>
      <c r="K21" s="36" t="str">
        <f t="shared" si="4"/>
        <v>rokprognozy=2019 i lp=120</v>
      </c>
      <c r="L21" s="36" t="str">
        <f t="shared" si="4"/>
        <v>rokprognozy=2020 i lp=120</v>
      </c>
      <c r="M21" s="36" t="str">
        <f t="shared" si="4"/>
        <v>rokprognozy=2021 i lp=120</v>
      </c>
      <c r="N21" s="36" t="str">
        <f t="shared" si="1"/>
        <v>rokprognozy=2022 i lp=120</v>
      </c>
      <c r="O21" s="36" t="str">
        <f t="shared" si="1"/>
        <v>rokprognozy=2023 i lp=120</v>
      </c>
      <c r="P21" s="36" t="str">
        <f t="shared" si="1"/>
        <v>rokprognozy=2024 i lp=120</v>
      </c>
      <c r="Q21" s="36" t="str">
        <f t="shared" si="1"/>
        <v>rokprognozy=2025 i lp=120</v>
      </c>
      <c r="R21" s="36" t="str">
        <f t="shared" si="1"/>
        <v>rokprognozy=2026 i lp=120</v>
      </c>
      <c r="S21" s="36" t="str">
        <f t="shared" si="1"/>
        <v>rokprognozy=2027 i lp=120</v>
      </c>
      <c r="T21" s="36" t="str">
        <f t="shared" si="1"/>
        <v>rokprognozy=2028 i lp=120</v>
      </c>
      <c r="U21" s="36" t="str">
        <f t="shared" si="1"/>
        <v>rokprognozy=2029 i lp=120</v>
      </c>
      <c r="V21" s="36" t="str">
        <f t="shared" si="1"/>
        <v>rokprognozy=2030 i lp=120</v>
      </c>
      <c r="W21" s="36" t="str">
        <f t="shared" si="1"/>
        <v>rokprognozy=2031 i lp=120</v>
      </c>
      <c r="X21" s="36" t="str">
        <f t="shared" si="1"/>
        <v>rokprognozy=2032 i lp=120</v>
      </c>
      <c r="Y21" s="36" t="str">
        <f t="shared" si="1"/>
        <v>rokprognozy=2033 i lp=120</v>
      </c>
      <c r="Z21" s="36" t="str">
        <f t="shared" si="1"/>
        <v>rokprognozy=2034 i lp=120</v>
      </c>
      <c r="AA21" s="36" t="str">
        <f t="shared" si="1"/>
        <v>rokprognozy=2035 i lp=120</v>
      </c>
      <c r="AB21" s="36" t="str">
        <f t="shared" si="1"/>
        <v>rokprognozy=2036 i lp=120</v>
      </c>
      <c r="AC21" s="36" t="str">
        <f t="shared" si="1"/>
        <v>rokprognozy=2037 i lp=120</v>
      </c>
      <c r="AD21" s="36" t="str">
        <f t="shared" si="1"/>
        <v>rokprognozy=2038 i lp=120</v>
      </c>
      <c r="AE21" s="36" t="str">
        <f t="shared" si="1"/>
        <v>rokprognozy=2039 i lp=120</v>
      </c>
      <c r="AF21" s="36" t="str">
        <f t="shared" si="1"/>
        <v>rokprognozy=2040 i lp=120</v>
      </c>
      <c r="AG21" s="36" t="str">
        <f t="shared" si="1"/>
        <v>rokprognozy=2041 i lp=120</v>
      </c>
      <c r="AH21" s="36" t="str">
        <f t="shared" si="2"/>
        <v>rokprognozy=2042 i lp=120</v>
      </c>
    </row>
    <row r="22" spans="1:34" ht="11.25">
      <c r="A22" s="35">
        <v>130</v>
      </c>
      <c r="B22" s="35">
        <v>2.1</v>
      </c>
      <c r="C22" s="36" t="s">
        <v>58</v>
      </c>
      <c r="D22" s="36" t="str">
        <f t="shared" si="3"/>
        <v>rokprognozy=2013 i lp=130</v>
      </c>
      <c r="E22" s="36" t="str">
        <f t="shared" si="4"/>
        <v>rokprognozy=2013 i lp=130</v>
      </c>
      <c r="F22" s="36" t="str">
        <f t="shared" si="4"/>
        <v>rokprognozy=2014 i lp=130</v>
      </c>
      <c r="G22" s="36" t="str">
        <f t="shared" si="4"/>
        <v>rokprognozy=2015 i lp=130</v>
      </c>
      <c r="H22" s="36" t="str">
        <f t="shared" si="4"/>
        <v>rokprognozy=2016 i lp=130</v>
      </c>
      <c r="I22" s="36" t="str">
        <f t="shared" si="4"/>
        <v>rokprognozy=2017 i lp=130</v>
      </c>
      <c r="J22" s="36" t="str">
        <f t="shared" si="4"/>
        <v>rokprognozy=2018 i lp=130</v>
      </c>
      <c r="K22" s="36" t="str">
        <f t="shared" si="4"/>
        <v>rokprognozy=2019 i lp=130</v>
      </c>
      <c r="L22" s="36" t="str">
        <f t="shared" si="4"/>
        <v>rokprognozy=2020 i lp=130</v>
      </c>
      <c r="M22" s="36" t="str">
        <f t="shared" si="4"/>
        <v>rokprognozy=2021 i lp=130</v>
      </c>
      <c r="N22" s="36" t="str">
        <f t="shared" si="1"/>
        <v>rokprognozy=2022 i lp=130</v>
      </c>
      <c r="O22" s="36" t="str">
        <f t="shared" si="1"/>
        <v>rokprognozy=2023 i lp=130</v>
      </c>
      <c r="P22" s="36" t="str">
        <f t="shared" si="1"/>
        <v>rokprognozy=2024 i lp=130</v>
      </c>
      <c r="Q22" s="36" t="str">
        <f t="shared" si="1"/>
        <v>rokprognozy=2025 i lp=130</v>
      </c>
      <c r="R22" s="36" t="str">
        <f t="shared" si="1"/>
        <v>rokprognozy=2026 i lp=130</v>
      </c>
      <c r="S22" s="36" t="str">
        <f t="shared" si="1"/>
        <v>rokprognozy=2027 i lp=130</v>
      </c>
      <c r="T22" s="36" t="str">
        <f aca="true" t="shared" si="5" ref="T22:AH22">+"rokprognozy="&amp;T$9&amp;" i lp="&amp;$A22</f>
        <v>rokprognozy=2028 i lp=130</v>
      </c>
      <c r="U22" s="36" t="str">
        <f t="shared" si="5"/>
        <v>rokprognozy=2029 i lp=130</v>
      </c>
      <c r="V22" s="36" t="str">
        <f t="shared" si="5"/>
        <v>rokprognozy=2030 i lp=130</v>
      </c>
      <c r="W22" s="36" t="str">
        <f t="shared" si="5"/>
        <v>rokprognozy=2031 i lp=130</v>
      </c>
      <c r="X22" s="36" t="str">
        <f t="shared" si="5"/>
        <v>rokprognozy=2032 i lp=130</v>
      </c>
      <c r="Y22" s="36" t="str">
        <f t="shared" si="5"/>
        <v>rokprognozy=2033 i lp=130</v>
      </c>
      <c r="Z22" s="36" t="str">
        <f t="shared" si="5"/>
        <v>rokprognozy=2034 i lp=130</v>
      </c>
      <c r="AA22" s="36" t="str">
        <f t="shared" si="5"/>
        <v>rokprognozy=2035 i lp=130</v>
      </c>
      <c r="AB22" s="36" t="str">
        <f t="shared" si="5"/>
        <v>rokprognozy=2036 i lp=130</v>
      </c>
      <c r="AC22" s="36" t="str">
        <f t="shared" si="5"/>
        <v>rokprognozy=2037 i lp=130</v>
      </c>
      <c r="AD22" s="36" t="str">
        <f t="shared" si="5"/>
        <v>rokprognozy=2038 i lp=130</v>
      </c>
      <c r="AE22" s="36" t="str">
        <f t="shared" si="5"/>
        <v>rokprognozy=2039 i lp=130</v>
      </c>
      <c r="AF22" s="36" t="str">
        <f t="shared" si="5"/>
        <v>rokprognozy=2040 i lp=130</v>
      </c>
      <c r="AG22" s="36" t="str">
        <f t="shared" si="5"/>
        <v>rokprognozy=2041 i lp=130</v>
      </c>
      <c r="AH22" s="36" t="str">
        <f t="shared" si="5"/>
        <v>rokprognozy=2042 i lp=130</v>
      </c>
    </row>
    <row r="23" spans="1:34" ht="11.25">
      <c r="A23" s="35">
        <v>140</v>
      </c>
      <c r="B23" s="35" t="s">
        <v>59</v>
      </c>
      <c r="C23" s="36" t="s">
        <v>60</v>
      </c>
      <c r="D23" s="36" t="str">
        <f t="shared" si="3"/>
        <v>rokprognozy=2013 i lp=140</v>
      </c>
      <c r="E23" s="36" t="str">
        <f t="shared" si="4"/>
        <v>rokprognozy=2013 i lp=140</v>
      </c>
      <c r="F23" s="36" t="str">
        <f t="shared" si="4"/>
        <v>rokprognozy=2014 i lp=140</v>
      </c>
      <c r="G23" s="36" t="str">
        <f t="shared" si="4"/>
        <v>rokprognozy=2015 i lp=140</v>
      </c>
      <c r="H23" s="36" t="str">
        <f t="shared" si="4"/>
        <v>rokprognozy=2016 i lp=140</v>
      </c>
      <c r="I23" s="36" t="str">
        <f t="shared" si="4"/>
        <v>rokprognozy=2017 i lp=140</v>
      </c>
      <c r="J23" s="36" t="str">
        <f t="shared" si="4"/>
        <v>rokprognozy=2018 i lp=140</v>
      </c>
      <c r="K23" s="36" t="str">
        <f t="shared" si="4"/>
        <v>rokprognozy=2019 i lp=140</v>
      </c>
      <c r="L23" s="36" t="str">
        <f t="shared" si="4"/>
        <v>rokprognozy=2020 i lp=140</v>
      </c>
      <c r="M23" s="36" t="str">
        <f t="shared" si="4"/>
        <v>rokprognozy=2021 i lp=140</v>
      </c>
      <c r="N23" s="36" t="str">
        <f aca="true" t="shared" si="6" ref="N23:AC38">+"rokprognozy="&amp;N$9&amp;" i lp="&amp;$A23</f>
        <v>rokprognozy=2022 i lp=140</v>
      </c>
      <c r="O23" s="36" t="str">
        <f t="shared" si="6"/>
        <v>rokprognozy=2023 i lp=140</v>
      </c>
      <c r="P23" s="36" t="str">
        <f t="shared" si="6"/>
        <v>rokprognozy=2024 i lp=140</v>
      </c>
      <c r="Q23" s="36" t="str">
        <f t="shared" si="6"/>
        <v>rokprognozy=2025 i lp=140</v>
      </c>
      <c r="R23" s="36" t="str">
        <f t="shared" si="6"/>
        <v>rokprognozy=2026 i lp=140</v>
      </c>
      <c r="S23" s="36" t="str">
        <f t="shared" si="6"/>
        <v>rokprognozy=2027 i lp=140</v>
      </c>
      <c r="T23" s="36" t="str">
        <f t="shared" si="6"/>
        <v>rokprognozy=2028 i lp=140</v>
      </c>
      <c r="U23" s="36" t="str">
        <f t="shared" si="6"/>
        <v>rokprognozy=2029 i lp=140</v>
      </c>
      <c r="V23" s="36" t="str">
        <f t="shared" si="6"/>
        <v>rokprognozy=2030 i lp=140</v>
      </c>
      <c r="W23" s="36" t="str">
        <f t="shared" si="6"/>
        <v>rokprognozy=2031 i lp=140</v>
      </c>
      <c r="X23" s="36" t="str">
        <f t="shared" si="6"/>
        <v>rokprognozy=2032 i lp=140</v>
      </c>
      <c r="Y23" s="36" t="str">
        <f t="shared" si="6"/>
        <v>rokprognozy=2033 i lp=140</v>
      </c>
      <c r="Z23" s="36" t="str">
        <f t="shared" si="6"/>
        <v>rokprognozy=2034 i lp=140</v>
      </c>
      <c r="AA23" s="36" t="str">
        <f t="shared" si="6"/>
        <v>rokprognozy=2035 i lp=140</v>
      </c>
      <c r="AB23" s="36" t="str">
        <f t="shared" si="6"/>
        <v>rokprognozy=2036 i lp=140</v>
      </c>
      <c r="AC23" s="36" t="str">
        <f t="shared" si="6"/>
        <v>rokprognozy=2037 i lp=140</v>
      </c>
      <c r="AD23" s="36" t="str">
        <f aca="true" t="shared" si="7" ref="AD23:AH39">+"rokprognozy="&amp;AD$9&amp;" i lp="&amp;$A23</f>
        <v>rokprognozy=2038 i lp=140</v>
      </c>
      <c r="AE23" s="36" t="str">
        <f t="shared" si="7"/>
        <v>rokprognozy=2039 i lp=140</v>
      </c>
      <c r="AF23" s="36" t="str">
        <f t="shared" si="7"/>
        <v>rokprognozy=2040 i lp=140</v>
      </c>
      <c r="AG23" s="36" t="str">
        <f t="shared" si="7"/>
        <v>rokprognozy=2041 i lp=140</v>
      </c>
      <c r="AH23" s="36" t="str">
        <f t="shared" si="7"/>
        <v>rokprognozy=2042 i lp=140</v>
      </c>
    </row>
    <row r="24" spans="1:34" ht="11.25">
      <c r="A24" s="35">
        <v>150</v>
      </c>
      <c r="B24" s="35" t="s">
        <v>61</v>
      </c>
      <c r="C24" s="36" t="s">
        <v>62</v>
      </c>
      <c r="D24" s="36" t="str">
        <f t="shared" si="3"/>
        <v>rokprognozy=2013 i lp=150</v>
      </c>
      <c r="E24" s="36" t="str">
        <f t="shared" si="4"/>
        <v>rokprognozy=2013 i lp=150</v>
      </c>
      <c r="F24" s="36" t="str">
        <f t="shared" si="4"/>
        <v>rokprognozy=2014 i lp=150</v>
      </c>
      <c r="G24" s="36" t="str">
        <f t="shared" si="4"/>
        <v>rokprognozy=2015 i lp=150</v>
      </c>
      <c r="H24" s="36" t="str">
        <f t="shared" si="4"/>
        <v>rokprognozy=2016 i lp=150</v>
      </c>
      <c r="I24" s="36" t="str">
        <f t="shared" si="4"/>
        <v>rokprognozy=2017 i lp=150</v>
      </c>
      <c r="J24" s="36" t="str">
        <f t="shared" si="4"/>
        <v>rokprognozy=2018 i lp=150</v>
      </c>
      <c r="K24" s="36" t="str">
        <f t="shared" si="4"/>
        <v>rokprognozy=2019 i lp=150</v>
      </c>
      <c r="L24" s="36" t="str">
        <f t="shared" si="4"/>
        <v>rokprognozy=2020 i lp=150</v>
      </c>
      <c r="M24" s="36" t="str">
        <f t="shared" si="4"/>
        <v>rokprognozy=2021 i lp=150</v>
      </c>
      <c r="N24" s="36" t="str">
        <f t="shared" si="6"/>
        <v>rokprognozy=2022 i lp=150</v>
      </c>
      <c r="O24" s="36" t="str">
        <f t="shared" si="6"/>
        <v>rokprognozy=2023 i lp=150</v>
      </c>
      <c r="P24" s="36" t="str">
        <f t="shared" si="6"/>
        <v>rokprognozy=2024 i lp=150</v>
      </c>
      <c r="Q24" s="36" t="str">
        <f t="shared" si="6"/>
        <v>rokprognozy=2025 i lp=150</v>
      </c>
      <c r="R24" s="36" t="str">
        <f t="shared" si="6"/>
        <v>rokprognozy=2026 i lp=150</v>
      </c>
      <c r="S24" s="36" t="str">
        <f t="shared" si="6"/>
        <v>rokprognozy=2027 i lp=150</v>
      </c>
      <c r="T24" s="36" t="str">
        <f t="shared" si="6"/>
        <v>rokprognozy=2028 i lp=150</v>
      </c>
      <c r="U24" s="36" t="str">
        <f t="shared" si="6"/>
        <v>rokprognozy=2029 i lp=150</v>
      </c>
      <c r="V24" s="36" t="str">
        <f t="shared" si="6"/>
        <v>rokprognozy=2030 i lp=150</v>
      </c>
      <c r="W24" s="36" t="str">
        <f t="shared" si="6"/>
        <v>rokprognozy=2031 i lp=150</v>
      </c>
      <c r="X24" s="36" t="str">
        <f t="shared" si="6"/>
        <v>rokprognozy=2032 i lp=150</v>
      </c>
      <c r="Y24" s="36" t="str">
        <f t="shared" si="6"/>
        <v>rokprognozy=2033 i lp=150</v>
      </c>
      <c r="Z24" s="36" t="str">
        <f t="shared" si="6"/>
        <v>rokprognozy=2034 i lp=150</v>
      </c>
      <c r="AA24" s="36" t="str">
        <f t="shared" si="6"/>
        <v>rokprognozy=2035 i lp=150</v>
      </c>
      <c r="AB24" s="36" t="str">
        <f t="shared" si="6"/>
        <v>rokprognozy=2036 i lp=150</v>
      </c>
      <c r="AC24" s="36" t="str">
        <f t="shared" si="6"/>
        <v>rokprognozy=2037 i lp=150</v>
      </c>
      <c r="AD24" s="36" t="str">
        <f t="shared" si="7"/>
        <v>rokprognozy=2038 i lp=150</v>
      </c>
      <c r="AE24" s="36" t="str">
        <f t="shared" si="7"/>
        <v>rokprognozy=2039 i lp=150</v>
      </c>
      <c r="AF24" s="36" t="str">
        <f t="shared" si="7"/>
        <v>rokprognozy=2040 i lp=150</v>
      </c>
      <c r="AG24" s="36" t="str">
        <f t="shared" si="7"/>
        <v>rokprognozy=2041 i lp=150</v>
      </c>
      <c r="AH24" s="36" t="str">
        <f t="shared" si="7"/>
        <v>rokprognozy=2042 i lp=150</v>
      </c>
    </row>
    <row r="25" spans="1:34" ht="11.25">
      <c r="A25" s="35">
        <v>160</v>
      </c>
      <c r="B25" s="35" t="s">
        <v>63</v>
      </c>
      <c r="C25" s="36" t="s">
        <v>64</v>
      </c>
      <c r="D25" s="36" t="str">
        <f t="shared" si="3"/>
        <v>rokprognozy=2013 i lp=160</v>
      </c>
      <c r="E25" s="36" t="str">
        <f t="shared" si="4"/>
        <v>rokprognozy=2013 i lp=160</v>
      </c>
      <c r="F25" s="36" t="str">
        <f t="shared" si="4"/>
        <v>rokprognozy=2014 i lp=160</v>
      </c>
      <c r="G25" s="36" t="str">
        <f t="shared" si="4"/>
        <v>rokprognozy=2015 i lp=160</v>
      </c>
      <c r="H25" s="36" t="str">
        <f t="shared" si="4"/>
        <v>rokprognozy=2016 i lp=160</v>
      </c>
      <c r="I25" s="36" t="str">
        <f t="shared" si="4"/>
        <v>rokprognozy=2017 i lp=160</v>
      </c>
      <c r="J25" s="36" t="str">
        <f t="shared" si="4"/>
        <v>rokprognozy=2018 i lp=160</v>
      </c>
      <c r="K25" s="36" t="str">
        <f t="shared" si="4"/>
        <v>rokprognozy=2019 i lp=160</v>
      </c>
      <c r="L25" s="36" t="str">
        <f t="shared" si="4"/>
        <v>rokprognozy=2020 i lp=160</v>
      </c>
      <c r="M25" s="36" t="str">
        <f t="shared" si="4"/>
        <v>rokprognozy=2021 i lp=160</v>
      </c>
      <c r="N25" s="36" t="str">
        <f t="shared" si="6"/>
        <v>rokprognozy=2022 i lp=160</v>
      </c>
      <c r="O25" s="36" t="str">
        <f t="shared" si="6"/>
        <v>rokprognozy=2023 i lp=160</v>
      </c>
      <c r="P25" s="36" t="str">
        <f t="shared" si="6"/>
        <v>rokprognozy=2024 i lp=160</v>
      </c>
      <c r="Q25" s="36" t="str">
        <f t="shared" si="6"/>
        <v>rokprognozy=2025 i lp=160</v>
      </c>
      <c r="R25" s="36" t="str">
        <f t="shared" si="6"/>
        <v>rokprognozy=2026 i lp=160</v>
      </c>
      <c r="S25" s="36" t="str">
        <f t="shared" si="6"/>
        <v>rokprognozy=2027 i lp=160</v>
      </c>
      <c r="T25" s="36" t="str">
        <f t="shared" si="6"/>
        <v>rokprognozy=2028 i lp=160</v>
      </c>
      <c r="U25" s="36" t="str">
        <f t="shared" si="6"/>
        <v>rokprognozy=2029 i lp=160</v>
      </c>
      <c r="V25" s="36" t="str">
        <f t="shared" si="6"/>
        <v>rokprognozy=2030 i lp=160</v>
      </c>
      <c r="W25" s="36" t="str">
        <f t="shared" si="6"/>
        <v>rokprognozy=2031 i lp=160</v>
      </c>
      <c r="X25" s="36" t="str">
        <f t="shared" si="6"/>
        <v>rokprognozy=2032 i lp=160</v>
      </c>
      <c r="Y25" s="36" t="str">
        <f t="shared" si="6"/>
        <v>rokprognozy=2033 i lp=160</v>
      </c>
      <c r="Z25" s="36" t="str">
        <f t="shared" si="6"/>
        <v>rokprognozy=2034 i lp=160</v>
      </c>
      <c r="AA25" s="36" t="str">
        <f t="shared" si="6"/>
        <v>rokprognozy=2035 i lp=160</v>
      </c>
      <c r="AB25" s="36" t="str">
        <f t="shared" si="6"/>
        <v>rokprognozy=2036 i lp=160</v>
      </c>
      <c r="AC25" s="36" t="str">
        <f t="shared" si="6"/>
        <v>rokprognozy=2037 i lp=160</v>
      </c>
      <c r="AD25" s="36" t="str">
        <f t="shared" si="7"/>
        <v>rokprognozy=2038 i lp=160</v>
      </c>
      <c r="AE25" s="36" t="str">
        <f t="shared" si="7"/>
        <v>rokprognozy=2039 i lp=160</v>
      </c>
      <c r="AF25" s="36" t="str">
        <f t="shared" si="7"/>
        <v>rokprognozy=2040 i lp=160</v>
      </c>
      <c r="AG25" s="36" t="str">
        <f t="shared" si="7"/>
        <v>rokprognozy=2041 i lp=160</v>
      </c>
      <c r="AH25" s="36" t="str">
        <f t="shared" si="7"/>
        <v>rokprognozy=2042 i lp=160</v>
      </c>
    </row>
    <row r="26" spans="1:34" ht="11.25">
      <c r="A26" s="35">
        <v>170</v>
      </c>
      <c r="B26" s="35" t="s">
        <v>65</v>
      </c>
      <c r="C26" s="36" t="s">
        <v>66</v>
      </c>
      <c r="D26" s="36" t="str">
        <f t="shared" si="3"/>
        <v>rokprognozy=2013 i lp=170</v>
      </c>
      <c r="E26" s="36" t="str">
        <f t="shared" si="4"/>
        <v>rokprognozy=2013 i lp=170</v>
      </c>
      <c r="F26" s="36" t="str">
        <f t="shared" si="4"/>
        <v>rokprognozy=2014 i lp=170</v>
      </c>
      <c r="G26" s="36" t="str">
        <f t="shared" si="4"/>
        <v>rokprognozy=2015 i lp=170</v>
      </c>
      <c r="H26" s="36" t="str">
        <f t="shared" si="4"/>
        <v>rokprognozy=2016 i lp=170</v>
      </c>
      <c r="I26" s="36" t="str">
        <f t="shared" si="4"/>
        <v>rokprognozy=2017 i lp=170</v>
      </c>
      <c r="J26" s="36" t="str">
        <f t="shared" si="4"/>
        <v>rokprognozy=2018 i lp=170</v>
      </c>
      <c r="K26" s="36" t="str">
        <f t="shared" si="4"/>
        <v>rokprognozy=2019 i lp=170</v>
      </c>
      <c r="L26" s="36" t="str">
        <f t="shared" si="4"/>
        <v>rokprognozy=2020 i lp=170</v>
      </c>
      <c r="M26" s="36" t="str">
        <f t="shared" si="4"/>
        <v>rokprognozy=2021 i lp=170</v>
      </c>
      <c r="N26" s="36" t="str">
        <f t="shared" si="6"/>
        <v>rokprognozy=2022 i lp=170</v>
      </c>
      <c r="O26" s="36" t="str">
        <f t="shared" si="6"/>
        <v>rokprognozy=2023 i lp=170</v>
      </c>
      <c r="P26" s="36" t="str">
        <f t="shared" si="6"/>
        <v>rokprognozy=2024 i lp=170</v>
      </c>
      <c r="Q26" s="36" t="str">
        <f t="shared" si="6"/>
        <v>rokprognozy=2025 i lp=170</v>
      </c>
      <c r="R26" s="36" t="str">
        <f t="shared" si="6"/>
        <v>rokprognozy=2026 i lp=170</v>
      </c>
      <c r="S26" s="36" t="str">
        <f t="shared" si="6"/>
        <v>rokprognozy=2027 i lp=170</v>
      </c>
      <c r="T26" s="36" t="str">
        <f t="shared" si="6"/>
        <v>rokprognozy=2028 i lp=170</v>
      </c>
      <c r="U26" s="36" t="str">
        <f t="shared" si="6"/>
        <v>rokprognozy=2029 i lp=170</v>
      </c>
      <c r="V26" s="36" t="str">
        <f t="shared" si="6"/>
        <v>rokprognozy=2030 i lp=170</v>
      </c>
      <c r="W26" s="36" t="str">
        <f t="shared" si="6"/>
        <v>rokprognozy=2031 i lp=170</v>
      </c>
      <c r="X26" s="36" t="str">
        <f t="shared" si="6"/>
        <v>rokprognozy=2032 i lp=170</v>
      </c>
      <c r="Y26" s="36" t="str">
        <f t="shared" si="6"/>
        <v>rokprognozy=2033 i lp=170</v>
      </c>
      <c r="Z26" s="36" t="str">
        <f t="shared" si="6"/>
        <v>rokprognozy=2034 i lp=170</v>
      </c>
      <c r="AA26" s="36" t="str">
        <f t="shared" si="6"/>
        <v>rokprognozy=2035 i lp=170</v>
      </c>
      <c r="AB26" s="36" t="str">
        <f t="shared" si="6"/>
        <v>rokprognozy=2036 i lp=170</v>
      </c>
      <c r="AC26" s="36" t="str">
        <f t="shared" si="6"/>
        <v>rokprognozy=2037 i lp=170</v>
      </c>
      <c r="AD26" s="36" t="str">
        <f t="shared" si="7"/>
        <v>rokprognozy=2038 i lp=170</v>
      </c>
      <c r="AE26" s="36" t="str">
        <f t="shared" si="7"/>
        <v>rokprognozy=2039 i lp=170</v>
      </c>
      <c r="AF26" s="36" t="str">
        <f t="shared" si="7"/>
        <v>rokprognozy=2040 i lp=170</v>
      </c>
      <c r="AG26" s="36" t="str">
        <f t="shared" si="7"/>
        <v>rokprognozy=2041 i lp=170</v>
      </c>
      <c r="AH26" s="36" t="str">
        <f t="shared" si="7"/>
        <v>rokprognozy=2042 i lp=170</v>
      </c>
    </row>
    <row r="27" spans="1:34" ht="11.25">
      <c r="A27" s="35">
        <v>180</v>
      </c>
      <c r="B27" s="35" t="s">
        <v>67</v>
      </c>
      <c r="C27" s="36" t="s">
        <v>68</v>
      </c>
      <c r="D27" s="36" t="str">
        <f t="shared" si="3"/>
        <v>rokprognozy=2013 i lp=180</v>
      </c>
      <c r="E27" s="36" t="str">
        <f t="shared" si="4"/>
        <v>rokprognozy=2013 i lp=180</v>
      </c>
      <c r="F27" s="36" t="str">
        <f t="shared" si="4"/>
        <v>rokprognozy=2014 i lp=180</v>
      </c>
      <c r="G27" s="36" t="str">
        <f t="shared" si="4"/>
        <v>rokprognozy=2015 i lp=180</v>
      </c>
      <c r="H27" s="36" t="str">
        <f t="shared" si="4"/>
        <v>rokprognozy=2016 i lp=180</v>
      </c>
      <c r="I27" s="36" t="str">
        <f t="shared" si="4"/>
        <v>rokprognozy=2017 i lp=180</v>
      </c>
      <c r="J27" s="36" t="str">
        <f t="shared" si="4"/>
        <v>rokprognozy=2018 i lp=180</v>
      </c>
      <c r="K27" s="36" t="str">
        <f t="shared" si="4"/>
        <v>rokprognozy=2019 i lp=180</v>
      </c>
      <c r="L27" s="36" t="str">
        <f t="shared" si="4"/>
        <v>rokprognozy=2020 i lp=180</v>
      </c>
      <c r="M27" s="36" t="str">
        <f t="shared" si="4"/>
        <v>rokprognozy=2021 i lp=180</v>
      </c>
      <c r="N27" s="36" t="str">
        <f t="shared" si="6"/>
        <v>rokprognozy=2022 i lp=180</v>
      </c>
      <c r="O27" s="36" t="str">
        <f t="shared" si="6"/>
        <v>rokprognozy=2023 i lp=180</v>
      </c>
      <c r="P27" s="36" t="str">
        <f t="shared" si="6"/>
        <v>rokprognozy=2024 i lp=180</v>
      </c>
      <c r="Q27" s="36" t="str">
        <f t="shared" si="6"/>
        <v>rokprognozy=2025 i lp=180</v>
      </c>
      <c r="R27" s="36" t="str">
        <f t="shared" si="6"/>
        <v>rokprognozy=2026 i lp=180</v>
      </c>
      <c r="S27" s="36" t="str">
        <f t="shared" si="6"/>
        <v>rokprognozy=2027 i lp=180</v>
      </c>
      <c r="T27" s="36" t="str">
        <f t="shared" si="6"/>
        <v>rokprognozy=2028 i lp=180</v>
      </c>
      <c r="U27" s="36" t="str">
        <f t="shared" si="6"/>
        <v>rokprognozy=2029 i lp=180</v>
      </c>
      <c r="V27" s="36" t="str">
        <f t="shared" si="6"/>
        <v>rokprognozy=2030 i lp=180</v>
      </c>
      <c r="W27" s="36" t="str">
        <f t="shared" si="6"/>
        <v>rokprognozy=2031 i lp=180</v>
      </c>
      <c r="X27" s="36" t="str">
        <f t="shared" si="6"/>
        <v>rokprognozy=2032 i lp=180</v>
      </c>
      <c r="Y27" s="36" t="str">
        <f t="shared" si="6"/>
        <v>rokprognozy=2033 i lp=180</v>
      </c>
      <c r="Z27" s="36" t="str">
        <f t="shared" si="6"/>
        <v>rokprognozy=2034 i lp=180</v>
      </c>
      <c r="AA27" s="36" t="str">
        <f t="shared" si="6"/>
        <v>rokprognozy=2035 i lp=180</v>
      </c>
      <c r="AB27" s="36" t="str">
        <f t="shared" si="6"/>
        <v>rokprognozy=2036 i lp=180</v>
      </c>
      <c r="AC27" s="36" t="str">
        <f t="shared" si="6"/>
        <v>rokprognozy=2037 i lp=180</v>
      </c>
      <c r="AD27" s="36" t="str">
        <f t="shared" si="7"/>
        <v>rokprognozy=2038 i lp=180</v>
      </c>
      <c r="AE27" s="36" t="str">
        <f t="shared" si="7"/>
        <v>rokprognozy=2039 i lp=180</v>
      </c>
      <c r="AF27" s="36" t="str">
        <f t="shared" si="7"/>
        <v>rokprognozy=2040 i lp=180</v>
      </c>
      <c r="AG27" s="36" t="str">
        <f t="shared" si="7"/>
        <v>rokprognozy=2041 i lp=180</v>
      </c>
      <c r="AH27" s="36" t="str">
        <f t="shared" si="7"/>
        <v>rokprognozy=2042 i lp=180</v>
      </c>
    </row>
    <row r="28" spans="1:34" ht="11.25">
      <c r="A28" s="35">
        <v>190</v>
      </c>
      <c r="B28" s="35">
        <v>2.2</v>
      </c>
      <c r="C28" s="36" t="s">
        <v>69</v>
      </c>
      <c r="D28" s="36" t="str">
        <f t="shared" si="3"/>
        <v>rokprognozy=2013 i lp=190</v>
      </c>
      <c r="E28" s="36" t="str">
        <f t="shared" si="4"/>
        <v>rokprognozy=2013 i lp=190</v>
      </c>
      <c r="F28" s="36" t="str">
        <f t="shared" si="4"/>
        <v>rokprognozy=2014 i lp=190</v>
      </c>
      <c r="G28" s="36" t="str">
        <f t="shared" si="4"/>
        <v>rokprognozy=2015 i lp=190</v>
      </c>
      <c r="H28" s="36" t="str">
        <f t="shared" si="4"/>
        <v>rokprognozy=2016 i lp=190</v>
      </c>
      <c r="I28" s="36" t="str">
        <f t="shared" si="4"/>
        <v>rokprognozy=2017 i lp=190</v>
      </c>
      <c r="J28" s="36" t="str">
        <f t="shared" si="4"/>
        <v>rokprognozy=2018 i lp=190</v>
      </c>
      <c r="K28" s="36" t="str">
        <f t="shared" si="4"/>
        <v>rokprognozy=2019 i lp=190</v>
      </c>
      <c r="L28" s="36" t="str">
        <f t="shared" si="4"/>
        <v>rokprognozy=2020 i lp=190</v>
      </c>
      <c r="M28" s="36" t="str">
        <f t="shared" si="4"/>
        <v>rokprognozy=2021 i lp=190</v>
      </c>
      <c r="N28" s="36" t="str">
        <f t="shared" si="6"/>
        <v>rokprognozy=2022 i lp=190</v>
      </c>
      <c r="O28" s="36" t="str">
        <f t="shared" si="6"/>
        <v>rokprognozy=2023 i lp=190</v>
      </c>
      <c r="P28" s="36" t="str">
        <f t="shared" si="6"/>
        <v>rokprognozy=2024 i lp=190</v>
      </c>
      <c r="Q28" s="36" t="str">
        <f t="shared" si="6"/>
        <v>rokprognozy=2025 i lp=190</v>
      </c>
      <c r="R28" s="36" t="str">
        <f t="shared" si="6"/>
        <v>rokprognozy=2026 i lp=190</v>
      </c>
      <c r="S28" s="36" t="str">
        <f t="shared" si="6"/>
        <v>rokprognozy=2027 i lp=190</v>
      </c>
      <c r="T28" s="36" t="str">
        <f t="shared" si="6"/>
        <v>rokprognozy=2028 i lp=190</v>
      </c>
      <c r="U28" s="36" t="str">
        <f t="shared" si="6"/>
        <v>rokprognozy=2029 i lp=190</v>
      </c>
      <c r="V28" s="36" t="str">
        <f t="shared" si="6"/>
        <v>rokprognozy=2030 i lp=190</v>
      </c>
      <c r="W28" s="36" t="str">
        <f t="shared" si="6"/>
        <v>rokprognozy=2031 i lp=190</v>
      </c>
      <c r="X28" s="36" t="str">
        <f t="shared" si="6"/>
        <v>rokprognozy=2032 i lp=190</v>
      </c>
      <c r="Y28" s="36" t="str">
        <f t="shared" si="6"/>
        <v>rokprognozy=2033 i lp=190</v>
      </c>
      <c r="Z28" s="36" t="str">
        <f t="shared" si="6"/>
        <v>rokprognozy=2034 i lp=190</v>
      </c>
      <c r="AA28" s="36" t="str">
        <f t="shared" si="6"/>
        <v>rokprognozy=2035 i lp=190</v>
      </c>
      <c r="AB28" s="36" t="str">
        <f t="shared" si="6"/>
        <v>rokprognozy=2036 i lp=190</v>
      </c>
      <c r="AC28" s="36" t="str">
        <f t="shared" si="6"/>
        <v>rokprognozy=2037 i lp=190</v>
      </c>
      <c r="AD28" s="36" t="str">
        <f t="shared" si="7"/>
        <v>rokprognozy=2038 i lp=190</v>
      </c>
      <c r="AE28" s="36" t="str">
        <f t="shared" si="7"/>
        <v>rokprognozy=2039 i lp=190</v>
      </c>
      <c r="AF28" s="36" t="str">
        <f t="shared" si="7"/>
        <v>rokprognozy=2040 i lp=190</v>
      </c>
      <c r="AG28" s="36" t="str">
        <f t="shared" si="7"/>
        <v>rokprognozy=2041 i lp=190</v>
      </c>
      <c r="AH28" s="36" t="str">
        <f t="shared" si="7"/>
        <v>rokprognozy=2042 i lp=190</v>
      </c>
    </row>
    <row r="29" spans="1:34" ht="11.25">
      <c r="A29" s="35">
        <v>200</v>
      </c>
      <c r="B29" s="35">
        <v>3</v>
      </c>
      <c r="C29" s="36" t="s">
        <v>23</v>
      </c>
      <c r="D29" s="36" t="str">
        <f t="shared" si="3"/>
        <v>rokprognozy=2013 i lp=200</v>
      </c>
      <c r="E29" s="36" t="str">
        <f t="shared" si="4"/>
        <v>rokprognozy=2013 i lp=200</v>
      </c>
      <c r="F29" s="36" t="str">
        <f t="shared" si="4"/>
        <v>rokprognozy=2014 i lp=200</v>
      </c>
      <c r="G29" s="36" t="str">
        <f t="shared" si="4"/>
        <v>rokprognozy=2015 i lp=200</v>
      </c>
      <c r="H29" s="36" t="str">
        <f t="shared" si="4"/>
        <v>rokprognozy=2016 i lp=200</v>
      </c>
      <c r="I29" s="36" t="str">
        <f t="shared" si="4"/>
        <v>rokprognozy=2017 i lp=200</v>
      </c>
      <c r="J29" s="36" t="str">
        <f t="shared" si="4"/>
        <v>rokprognozy=2018 i lp=200</v>
      </c>
      <c r="K29" s="36" t="str">
        <f t="shared" si="4"/>
        <v>rokprognozy=2019 i lp=200</v>
      </c>
      <c r="L29" s="36" t="str">
        <f t="shared" si="4"/>
        <v>rokprognozy=2020 i lp=200</v>
      </c>
      <c r="M29" s="36" t="str">
        <f t="shared" si="4"/>
        <v>rokprognozy=2021 i lp=200</v>
      </c>
      <c r="N29" s="36" t="str">
        <f t="shared" si="6"/>
        <v>rokprognozy=2022 i lp=200</v>
      </c>
      <c r="O29" s="36" t="str">
        <f t="shared" si="6"/>
        <v>rokprognozy=2023 i lp=200</v>
      </c>
      <c r="P29" s="36" t="str">
        <f t="shared" si="6"/>
        <v>rokprognozy=2024 i lp=200</v>
      </c>
      <c r="Q29" s="36" t="str">
        <f t="shared" si="6"/>
        <v>rokprognozy=2025 i lp=200</v>
      </c>
      <c r="R29" s="36" t="str">
        <f t="shared" si="6"/>
        <v>rokprognozy=2026 i lp=200</v>
      </c>
      <c r="S29" s="36" t="str">
        <f t="shared" si="6"/>
        <v>rokprognozy=2027 i lp=200</v>
      </c>
      <c r="T29" s="36" t="str">
        <f t="shared" si="6"/>
        <v>rokprognozy=2028 i lp=200</v>
      </c>
      <c r="U29" s="36" t="str">
        <f t="shared" si="6"/>
        <v>rokprognozy=2029 i lp=200</v>
      </c>
      <c r="V29" s="36" t="str">
        <f t="shared" si="6"/>
        <v>rokprognozy=2030 i lp=200</v>
      </c>
      <c r="W29" s="36" t="str">
        <f t="shared" si="6"/>
        <v>rokprognozy=2031 i lp=200</v>
      </c>
      <c r="X29" s="36" t="str">
        <f t="shared" si="6"/>
        <v>rokprognozy=2032 i lp=200</v>
      </c>
      <c r="Y29" s="36" t="str">
        <f t="shared" si="6"/>
        <v>rokprognozy=2033 i lp=200</v>
      </c>
      <c r="Z29" s="36" t="str">
        <f t="shared" si="6"/>
        <v>rokprognozy=2034 i lp=200</v>
      </c>
      <c r="AA29" s="36" t="str">
        <f t="shared" si="6"/>
        <v>rokprognozy=2035 i lp=200</v>
      </c>
      <c r="AB29" s="36" t="str">
        <f t="shared" si="6"/>
        <v>rokprognozy=2036 i lp=200</v>
      </c>
      <c r="AC29" s="36" t="str">
        <f t="shared" si="6"/>
        <v>rokprognozy=2037 i lp=200</v>
      </c>
      <c r="AD29" s="36" t="str">
        <f t="shared" si="7"/>
        <v>rokprognozy=2038 i lp=200</v>
      </c>
      <c r="AE29" s="36" t="str">
        <f t="shared" si="7"/>
        <v>rokprognozy=2039 i lp=200</v>
      </c>
      <c r="AF29" s="36" t="str">
        <f t="shared" si="7"/>
        <v>rokprognozy=2040 i lp=200</v>
      </c>
      <c r="AG29" s="36" t="str">
        <f t="shared" si="7"/>
        <v>rokprognozy=2041 i lp=200</v>
      </c>
      <c r="AH29" s="36" t="str">
        <f t="shared" si="7"/>
        <v>rokprognozy=2042 i lp=200</v>
      </c>
    </row>
    <row r="30" spans="1:34" ht="11.25">
      <c r="A30" s="35">
        <v>210</v>
      </c>
      <c r="B30" s="35">
        <v>4</v>
      </c>
      <c r="C30" s="36" t="s">
        <v>24</v>
      </c>
      <c r="D30" s="36" t="str">
        <f t="shared" si="3"/>
        <v>rokprognozy=2013 i lp=210</v>
      </c>
      <c r="E30" s="36" t="str">
        <f t="shared" si="4"/>
        <v>rokprognozy=2013 i lp=210</v>
      </c>
      <c r="F30" s="36" t="str">
        <f t="shared" si="4"/>
        <v>rokprognozy=2014 i lp=210</v>
      </c>
      <c r="G30" s="36" t="str">
        <f t="shared" si="4"/>
        <v>rokprognozy=2015 i lp=210</v>
      </c>
      <c r="H30" s="36" t="str">
        <f t="shared" si="4"/>
        <v>rokprognozy=2016 i lp=210</v>
      </c>
      <c r="I30" s="36" t="str">
        <f t="shared" si="4"/>
        <v>rokprognozy=2017 i lp=210</v>
      </c>
      <c r="J30" s="36" t="str">
        <f t="shared" si="4"/>
        <v>rokprognozy=2018 i lp=210</v>
      </c>
      <c r="K30" s="36" t="str">
        <f t="shared" si="4"/>
        <v>rokprognozy=2019 i lp=210</v>
      </c>
      <c r="L30" s="36" t="str">
        <f t="shared" si="4"/>
        <v>rokprognozy=2020 i lp=210</v>
      </c>
      <c r="M30" s="36" t="str">
        <f t="shared" si="4"/>
        <v>rokprognozy=2021 i lp=210</v>
      </c>
      <c r="N30" s="36" t="str">
        <f t="shared" si="6"/>
        <v>rokprognozy=2022 i lp=210</v>
      </c>
      <c r="O30" s="36" t="str">
        <f t="shared" si="6"/>
        <v>rokprognozy=2023 i lp=210</v>
      </c>
      <c r="P30" s="36" t="str">
        <f t="shared" si="6"/>
        <v>rokprognozy=2024 i lp=210</v>
      </c>
      <c r="Q30" s="36" t="str">
        <f t="shared" si="6"/>
        <v>rokprognozy=2025 i lp=210</v>
      </c>
      <c r="R30" s="36" t="str">
        <f t="shared" si="6"/>
        <v>rokprognozy=2026 i lp=210</v>
      </c>
      <c r="S30" s="36" t="str">
        <f t="shared" si="6"/>
        <v>rokprognozy=2027 i lp=210</v>
      </c>
      <c r="T30" s="36" t="str">
        <f t="shared" si="6"/>
        <v>rokprognozy=2028 i lp=210</v>
      </c>
      <c r="U30" s="36" t="str">
        <f t="shared" si="6"/>
        <v>rokprognozy=2029 i lp=210</v>
      </c>
      <c r="V30" s="36" t="str">
        <f t="shared" si="6"/>
        <v>rokprognozy=2030 i lp=210</v>
      </c>
      <c r="W30" s="36" t="str">
        <f t="shared" si="6"/>
        <v>rokprognozy=2031 i lp=210</v>
      </c>
      <c r="X30" s="36" t="str">
        <f t="shared" si="6"/>
        <v>rokprognozy=2032 i lp=210</v>
      </c>
      <c r="Y30" s="36" t="str">
        <f t="shared" si="6"/>
        <v>rokprognozy=2033 i lp=210</v>
      </c>
      <c r="Z30" s="36" t="str">
        <f t="shared" si="6"/>
        <v>rokprognozy=2034 i lp=210</v>
      </c>
      <c r="AA30" s="36" t="str">
        <f t="shared" si="6"/>
        <v>rokprognozy=2035 i lp=210</v>
      </c>
      <c r="AB30" s="36" t="str">
        <f t="shared" si="6"/>
        <v>rokprognozy=2036 i lp=210</v>
      </c>
      <c r="AC30" s="36" t="str">
        <f t="shared" si="6"/>
        <v>rokprognozy=2037 i lp=210</v>
      </c>
      <c r="AD30" s="36" t="str">
        <f t="shared" si="7"/>
        <v>rokprognozy=2038 i lp=210</v>
      </c>
      <c r="AE30" s="36" t="str">
        <f t="shared" si="7"/>
        <v>rokprognozy=2039 i lp=210</v>
      </c>
      <c r="AF30" s="36" t="str">
        <f t="shared" si="7"/>
        <v>rokprognozy=2040 i lp=210</v>
      </c>
      <c r="AG30" s="36" t="str">
        <f t="shared" si="7"/>
        <v>rokprognozy=2041 i lp=210</v>
      </c>
      <c r="AH30" s="36" t="str">
        <f t="shared" si="7"/>
        <v>rokprognozy=2042 i lp=210</v>
      </c>
    </row>
    <row r="31" spans="1:34" ht="11.25">
      <c r="A31" s="35">
        <v>220</v>
      </c>
      <c r="B31" s="35">
        <v>4.1</v>
      </c>
      <c r="C31" s="36" t="s">
        <v>70</v>
      </c>
      <c r="D31" s="36" t="str">
        <f t="shared" si="3"/>
        <v>rokprognozy=2013 i lp=220</v>
      </c>
      <c r="E31" s="36" t="str">
        <f t="shared" si="4"/>
        <v>rokprognozy=2013 i lp=220</v>
      </c>
      <c r="F31" s="36" t="str">
        <f t="shared" si="4"/>
        <v>rokprognozy=2014 i lp=220</v>
      </c>
      <c r="G31" s="36" t="str">
        <f t="shared" si="4"/>
        <v>rokprognozy=2015 i lp=220</v>
      </c>
      <c r="H31" s="36" t="str">
        <f t="shared" si="4"/>
        <v>rokprognozy=2016 i lp=220</v>
      </c>
      <c r="I31" s="36" t="str">
        <f t="shared" si="4"/>
        <v>rokprognozy=2017 i lp=220</v>
      </c>
      <c r="J31" s="36" t="str">
        <f t="shared" si="4"/>
        <v>rokprognozy=2018 i lp=220</v>
      </c>
      <c r="K31" s="36" t="str">
        <f t="shared" si="4"/>
        <v>rokprognozy=2019 i lp=220</v>
      </c>
      <c r="L31" s="36" t="str">
        <f t="shared" si="4"/>
        <v>rokprognozy=2020 i lp=220</v>
      </c>
      <c r="M31" s="36" t="str">
        <f t="shared" si="4"/>
        <v>rokprognozy=2021 i lp=220</v>
      </c>
      <c r="N31" s="36" t="str">
        <f t="shared" si="6"/>
        <v>rokprognozy=2022 i lp=220</v>
      </c>
      <c r="O31" s="36" t="str">
        <f t="shared" si="6"/>
        <v>rokprognozy=2023 i lp=220</v>
      </c>
      <c r="P31" s="36" t="str">
        <f t="shared" si="6"/>
        <v>rokprognozy=2024 i lp=220</v>
      </c>
      <c r="Q31" s="36" t="str">
        <f t="shared" si="6"/>
        <v>rokprognozy=2025 i lp=220</v>
      </c>
      <c r="R31" s="36" t="str">
        <f t="shared" si="6"/>
        <v>rokprognozy=2026 i lp=220</v>
      </c>
      <c r="S31" s="36" t="str">
        <f t="shared" si="6"/>
        <v>rokprognozy=2027 i lp=220</v>
      </c>
      <c r="T31" s="36" t="str">
        <f t="shared" si="6"/>
        <v>rokprognozy=2028 i lp=220</v>
      </c>
      <c r="U31" s="36" t="str">
        <f t="shared" si="6"/>
        <v>rokprognozy=2029 i lp=220</v>
      </c>
      <c r="V31" s="36" t="str">
        <f t="shared" si="6"/>
        <v>rokprognozy=2030 i lp=220</v>
      </c>
      <c r="W31" s="36" t="str">
        <f t="shared" si="6"/>
        <v>rokprognozy=2031 i lp=220</v>
      </c>
      <c r="X31" s="36" t="str">
        <f t="shared" si="6"/>
        <v>rokprognozy=2032 i lp=220</v>
      </c>
      <c r="Y31" s="36" t="str">
        <f t="shared" si="6"/>
        <v>rokprognozy=2033 i lp=220</v>
      </c>
      <c r="Z31" s="36" t="str">
        <f t="shared" si="6"/>
        <v>rokprognozy=2034 i lp=220</v>
      </c>
      <c r="AA31" s="36" t="str">
        <f t="shared" si="6"/>
        <v>rokprognozy=2035 i lp=220</v>
      </c>
      <c r="AB31" s="36" t="str">
        <f t="shared" si="6"/>
        <v>rokprognozy=2036 i lp=220</v>
      </c>
      <c r="AC31" s="36" t="str">
        <f t="shared" si="6"/>
        <v>rokprognozy=2037 i lp=220</v>
      </c>
      <c r="AD31" s="36" t="str">
        <f t="shared" si="7"/>
        <v>rokprognozy=2038 i lp=220</v>
      </c>
      <c r="AE31" s="36" t="str">
        <f t="shared" si="7"/>
        <v>rokprognozy=2039 i lp=220</v>
      </c>
      <c r="AF31" s="36" t="str">
        <f t="shared" si="7"/>
        <v>rokprognozy=2040 i lp=220</v>
      </c>
      <c r="AG31" s="36" t="str">
        <f t="shared" si="7"/>
        <v>rokprognozy=2041 i lp=220</v>
      </c>
      <c r="AH31" s="36" t="str">
        <f t="shared" si="7"/>
        <v>rokprognozy=2042 i lp=220</v>
      </c>
    </row>
    <row r="32" spans="1:34" ht="11.25">
      <c r="A32" s="35">
        <v>230</v>
      </c>
      <c r="B32" s="35" t="s">
        <v>71</v>
      </c>
      <c r="C32" s="36" t="s">
        <v>72</v>
      </c>
      <c r="D32" s="36" t="str">
        <f t="shared" si="3"/>
        <v>rokprognozy=2013 i lp=230</v>
      </c>
      <c r="E32" s="36" t="str">
        <f t="shared" si="4"/>
        <v>rokprognozy=2013 i lp=230</v>
      </c>
      <c r="F32" s="36" t="str">
        <f t="shared" si="4"/>
        <v>rokprognozy=2014 i lp=230</v>
      </c>
      <c r="G32" s="36" t="str">
        <f t="shared" si="4"/>
        <v>rokprognozy=2015 i lp=230</v>
      </c>
      <c r="H32" s="36" t="str">
        <f t="shared" si="4"/>
        <v>rokprognozy=2016 i lp=230</v>
      </c>
      <c r="I32" s="36" t="str">
        <f t="shared" si="4"/>
        <v>rokprognozy=2017 i lp=230</v>
      </c>
      <c r="J32" s="36" t="str">
        <f t="shared" si="4"/>
        <v>rokprognozy=2018 i lp=230</v>
      </c>
      <c r="K32" s="36" t="str">
        <f t="shared" si="4"/>
        <v>rokprognozy=2019 i lp=230</v>
      </c>
      <c r="L32" s="36" t="str">
        <f t="shared" si="4"/>
        <v>rokprognozy=2020 i lp=230</v>
      </c>
      <c r="M32" s="36" t="str">
        <f t="shared" si="4"/>
        <v>rokprognozy=2021 i lp=230</v>
      </c>
      <c r="N32" s="36" t="str">
        <f t="shared" si="6"/>
        <v>rokprognozy=2022 i lp=230</v>
      </c>
      <c r="O32" s="36" t="str">
        <f t="shared" si="6"/>
        <v>rokprognozy=2023 i lp=230</v>
      </c>
      <c r="P32" s="36" t="str">
        <f t="shared" si="6"/>
        <v>rokprognozy=2024 i lp=230</v>
      </c>
      <c r="Q32" s="36" t="str">
        <f t="shared" si="6"/>
        <v>rokprognozy=2025 i lp=230</v>
      </c>
      <c r="R32" s="36" t="str">
        <f t="shared" si="6"/>
        <v>rokprognozy=2026 i lp=230</v>
      </c>
      <c r="S32" s="36" t="str">
        <f t="shared" si="6"/>
        <v>rokprognozy=2027 i lp=230</v>
      </c>
      <c r="T32" s="36" t="str">
        <f t="shared" si="6"/>
        <v>rokprognozy=2028 i lp=230</v>
      </c>
      <c r="U32" s="36" t="str">
        <f t="shared" si="6"/>
        <v>rokprognozy=2029 i lp=230</v>
      </c>
      <c r="V32" s="36" t="str">
        <f t="shared" si="6"/>
        <v>rokprognozy=2030 i lp=230</v>
      </c>
      <c r="W32" s="36" t="str">
        <f t="shared" si="6"/>
        <v>rokprognozy=2031 i lp=230</v>
      </c>
      <c r="X32" s="36" t="str">
        <f t="shared" si="6"/>
        <v>rokprognozy=2032 i lp=230</v>
      </c>
      <c r="Y32" s="36" t="str">
        <f t="shared" si="6"/>
        <v>rokprognozy=2033 i lp=230</v>
      </c>
      <c r="Z32" s="36" t="str">
        <f t="shared" si="6"/>
        <v>rokprognozy=2034 i lp=230</v>
      </c>
      <c r="AA32" s="36" t="str">
        <f t="shared" si="6"/>
        <v>rokprognozy=2035 i lp=230</v>
      </c>
      <c r="AB32" s="36" t="str">
        <f t="shared" si="6"/>
        <v>rokprognozy=2036 i lp=230</v>
      </c>
      <c r="AC32" s="36" t="str">
        <f t="shared" si="6"/>
        <v>rokprognozy=2037 i lp=230</v>
      </c>
      <c r="AD32" s="36" t="str">
        <f t="shared" si="7"/>
        <v>rokprognozy=2038 i lp=230</v>
      </c>
      <c r="AE32" s="36" t="str">
        <f t="shared" si="7"/>
        <v>rokprognozy=2039 i lp=230</v>
      </c>
      <c r="AF32" s="36" t="str">
        <f t="shared" si="7"/>
        <v>rokprognozy=2040 i lp=230</v>
      </c>
      <c r="AG32" s="36" t="str">
        <f t="shared" si="7"/>
        <v>rokprognozy=2041 i lp=230</v>
      </c>
      <c r="AH32" s="36" t="str">
        <f t="shared" si="7"/>
        <v>rokprognozy=2042 i lp=230</v>
      </c>
    </row>
    <row r="33" spans="1:34" ht="11.25">
      <c r="A33" s="35">
        <v>240</v>
      </c>
      <c r="B33" s="35">
        <v>4.2</v>
      </c>
      <c r="C33" s="36" t="s">
        <v>73</v>
      </c>
      <c r="D33" s="36" t="str">
        <f t="shared" si="3"/>
        <v>rokprognozy=2013 i lp=240</v>
      </c>
      <c r="E33" s="36" t="str">
        <f t="shared" si="4"/>
        <v>rokprognozy=2013 i lp=240</v>
      </c>
      <c r="F33" s="36" t="str">
        <f t="shared" si="4"/>
        <v>rokprognozy=2014 i lp=240</v>
      </c>
      <c r="G33" s="36" t="str">
        <f t="shared" si="4"/>
        <v>rokprognozy=2015 i lp=240</v>
      </c>
      <c r="H33" s="36" t="str">
        <f t="shared" si="4"/>
        <v>rokprognozy=2016 i lp=240</v>
      </c>
      <c r="I33" s="36" t="str">
        <f t="shared" si="4"/>
        <v>rokprognozy=2017 i lp=240</v>
      </c>
      <c r="J33" s="36" t="str">
        <f t="shared" si="4"/>
        <v>rokprognozy=2018 i lp=240</v>
      </c>
      <c r="K33" s="36" t="str">
        <f t="shared" si="4"/>
        <v>rokprognozy=2019 i lp=240</v>
      </c>
      <c r="L33" s="36" t="str">
        <f t="shared" si="4"/>
        <v>rokprognozy=2020 i lp=240</v>
      </c>
      <c r="M33" s="36" t="str">
        <f t="shared" si="4"/>
        <v>rokprognozy=2021 i lp=240</v>
      </c>
      <c r="N33" s="36" t="str">
        <f t="shared" si="6"/>
        <v>rokprognozy=2022 i lp=240</v>
      </c>
      <c r="O33" s="36" t="str">
        <f t="shared" si="6"/>
        <v>rokprognozy=2023 i lp=240</v>
      </c>
      <c r="P33" s="36" t="str">
        <f t="shared" si="6"/>
        <v>rokprognozy=2024 i lp=240</v>
      </c>
      <c r="Q33" s="36" t="str">
        <f t="shared" si="6"/>
        <v>rokprognozy=2025 i lp=240</v>
      </c>
      <c r="R33" s="36" t="str">
        <f t="shared" si="6"/>
        <v>rokprognozy=2026 i lp=240</v>
      </c>
      <c r="S33" s="36" t="str">
        <f t="shared" si="6"/>
        <v>rokprognozy=2027 i lp=240</v>
      </c>
      <c r="T33" s="36" t="str">
        <f t="shared" si="6"/>
        <v>rokprognozy=2028 i lp=240</v>
      </c>
      <c r="U33" s="36" t="str">
        <f t="shared" si="6"/>
        <v>rokprognozy=2029 i lp=240</v>
      </c>
      <c r="V33" s="36" t="str">
        <f t="shared" si="6"/>
        <v>rokprognozy=2030 i lp=240</v>
      </c>
      <c r="W33" s="36" t="str">
        <f t="shared" si="6"/>
        <v>rokprognozy=2031 i lp=240</v>
      </c>
      <c r="X33" s="36" t="str">
        <f t="shared" si="6"/>
        <v>rokprognozy=2032 i lp=240</v>
      </c>
      <c r="Y33" s="36" t="str">
        <f t="shared" si="6"/>
        <v>rokprognozy=2033 i lp=240</v>
      </c>
      <c r="Z33" s="36" t="str">
        <f t="shared" si="6"/>
        <v>rokprognozy=2034 i lp=240</v>
      </c>
      <c r="AA33" s="36" t="str">
        <f t="shared" si="6"/>
        <v>rokprognozy=2035 i lp=240</v>
      </c>
      <c r="AB33" s="36" t="str">
        <f t="shared" si="6"/>
        <v>rokprognozy=2036 i lp=240</v>
      </c>
      <c r="AC33" s="36" t="str">
        <f t="shared" si="6"/>
        <v>rokprognozy=2037 i lp=240</v>
      </c>
      <c r="AD33" s="36" t="str">
        <f t="shared" si="7"/>
        <v>rokprognozy=2038 i lp=240</v>
      </c>
      <c r="AE33" s="36" t="str">
        <f t="shared" si="7"/>
        <v>rokprognozy=2039 i lp=240</v>
      </c>
      <c r="AF33" s="36" t="str">
        <f t="shared" si="7"/>
        <v>rokprognozy=2040 i lp=240</v>
      </c>
      <c r="AG33" s="36" t="str">
        <f t="shared" si="7"/>
        <v>rokprognozy=2041 i lp=240</v>
      </c>
      <c r="AH33" s="36" t="str">
        <f t="shared" si="7"/>
        <v>rokprognozy=2042 i lp=240</v>
      </c>
    </row>
    <row r="34" spans="1:34" ht="11.25">
      <c r="A34" s="35">
        <v>250</v>
      </c>
      <c r="B34" s="35" t="s">
        <v>74</v>
      </c>
      <c r="C34" s="36" t="s">
        <v>75</v>
      </c>
      <c r="D34" s="36" t="str">
        <f t="shared" si="3"/>
        <v>rokprognozy=2013 i lp=250</v>
      </c>
      <c r="E34" s="36" t="str">
        <f t="shared" si="4"/>
        <v>rokprognozy=2013 i lp=250</v>
      </c>
      <c r="F34" s="36" t="str">
        <f t="shared" si="4"/>
        <v>rokprognozy=2014 i lp=250</v>
      </c>
      <c r="G34" s="36" t="str">
        <f t="shared" si="4"/>
        <v>rokprognozy=2015 i lp=250</v>
      </c>
      <c r="H34" s="36" t="str">
        <f t="shared" si="4"/>
        <v>rokprognozy=2016 i lp=250</v>
      </c>
      <c r="I34" s="36" t="str">
        <f t="shared" si="4"/>
        <v>rokprognozy=2017 i lp=250</v>
      </c>
      <c r="J34" s="36" t="str">
        <f t="shared" si="4"/>
        <v>rokprognozy=2018 i lp=250</v>
      </c>
      <c r="K34" s="36" t="str">
        <f t="shared" si="4"/>
        <v>rokprognozy=2019 i lp=250</v>
      </c>
      <c r="L34" s="36" t="str">
        <f t="shared" si="4"/>
        <v>rokprognozy=2020 i lp=250</v>
      </c>
      <c r="M34" s="36" t="str">
        <f t="shared" si="4"/>
        <v>rokprognozy=2021 i lp=250</v>
      </c>
      <c r="N34" s="36" t="str">
        <f t="shared" si="6"/>
        <v>rokprognozy=2022 i lp=250</v>
      </c>
      <c r="O34" s="36" t="str">
        <f t="shared" si="6"/>
        <v>rokprognozy=2023 i lp=250</v>
      </c>
      <c r="P34" s="36" t="str">
        <f t="shared" si="6"/>
        <v>rokprognozy=2024 i lp=250</v>
      </c>
      <c r="Q34" s="36" t="str">
        <f t="shared" si="6"/>
        <v>rokprognozy=2025 i lp=250</v>
      </c>
      <c r="R34" s="36" t="str">
        <f t="shared" si="6"/>
        <v>rokprognozy=2026 i lp=250</v>
      </c>
      <c r="S34" s="36" t="str">
        <f t="shared" si="6"/>
        <v>rokprognozy=2027 i lp=250</v>
      </c>
      <c r="T34" s="36" t="str">
        <f t="shared" si="6"/>
        <v>rokprognozy=2028 i lp=250</v>
      </c>
      <c r="U34" s="36" t="str">
        <f t="shared" si="6"/>
        <v>rokprognozy=2029 i lp=250</v>
      </c>
      <c r="V34" s="36" t="str">
        <f t="shared" si="6"/>
        <v>rokprognozy=2030 i lp=250</v>
      </c>
      <c r="W34" s="36" t="str">
        <f t="shared" si="6"/>
        <v>rokprognozy=2031 i lp=250</v>
      </c>
      <c r="X34" s="36" t="str">
        <f t="shared" si="6"/>
        <v>rokprognozy=2032 i lp=250</v>
      </c>
      <c r="Y34" s="36" t="str">
        <f t="shared" si="6"/>
        <v>rokprognozy=2033 i lp=250</v>
      </c>
      <c r="Z34" s="36" t="str">
        <f t="shared" si="6"/>
        <v>rokprognozy=2034 i lp=250</v>
      </c>
      <c r="AA34" s="36" t="str">
        <f t="shared" si="6"/>
        <v>rokprognozy=2035 i lp=250</v>
      </c>
      <c r="AB34" s="36" t="str">
        <f t="shared" si="6"/>
        <v>rokprognozy=2036 i lp=250</v>
      </c>
      <c r="AC34" s="36" t="str">
        <f t="shared" si="6"/>
        <v>rokprognozy=2037 i lp=250</v>
      </c>
      <c r="AD34" s="36" t="str">
        <f t="shared" si="7"/>
        <v>rokprognozy=2038 i lp=250</v>
      </c>
      <c r="AE34" s="36" t="str">
        <f t="shared" si="7"/>
        <v>rokprognozy=2039 i lp=250</v>
      </c>
      <c r="AF34" s="36" t="str">
        <f t="shared" si="7"/>
        <v>rokprognozy=2040 i lp=250</v>
      </c>
      <c r="AG34" s="36" t="str">
        <f t="shared" si="7"/>
        <v>rokprognozy=2041 i lp=250</v>
      </c>
      <c r="AH34" s="36" t="str">
        <f t="shared" si="7"/>
        <v>rokprognozy=2042 i lp=250</v>
      </c>
    </row>
    <row r="35" spans="1:34" ht="11.25">
      <c r="A35" s="35">
        <v>260</v>
      </c>
      <c r="B35" s="35">
        <v>4.3</v>
      </c>
      <c r="C35" s="36" t="s">
        <v>76</v>
      </c>
      <c r="D35" s="36" t="str">
        <f t="shared" si="3"/>
        <v>rokprognozy=2013 i lp=260</v>
      </c>
      <c r="E35" s="36" t="str">
        <f t="shared" si="4"/>
        <v>rokprognozy=2013 i lp=260</v>
      </c>
      <c r="F35" s="36" t="str">
        <f t="shared" si="4"/>
        <v>rokprognozy=2014 i lp=260</v>
      </c>
      <c r="G35" s="36" t="str">
        <f t="shared" si="4"/>
        <v>rokprognozy=2015 i lp=260</v>
      </c>
      <c r="H35" s="36" t="str">
        <f t="shared" si="4"/>
        <v>rokprognozy=2016 i lp=260</v>
      </c>
      <c r="I35" s="36" t="str">
        <f t="shared" si="4"/>
        <v>rokprognozy=2017 i lp=260</v>
      </c>
      <c r="J35" s="36" t="str">
        <f t="shared" si="4"/>
        <v>rokprognozy=2018 i lp=260</v>
      </c>
      <c r="K35" s="36" t="str">
        <f t="shared" si="4"/>
        <v>rokprognozy=2019 i lp=260</v>
      </c>
      <c r="L35" s="36" t="str">
        <f t="shared" si="4"/>
        <v>rokprognozy=2020 i lp=260</v>
      </c>
      <c r="M35" s="36" t="str">
        <f t="shared" si="4"/>
        <v>rokprognozy=2021 i lp=260</v>
      </c>
      <c r="N35" s="36" t="str">
        <f t="shared" si="6"/>
        <v>rokprognozy=2022 i lp=260</v>
      </c>
      <c r="O35" s="36" t="str">
        <f t="shared" si="6"/>
        <v>rokprognozy=2023 i lp=260</v>
      </c>
      <c r="P35" s="36" t="str">
        <f t="shared" si="6"/>
        <v>rokprognozy=2024 i lp=260</v>
      </c>
      <c r="Q35" s="36" t="str">
        <f t="shared" si="6"/>
        <v>rokprognozy=2025 i lp=260</v>
      </c>
      <c r="R35" s="36" t="str">
        <f t="shared" si="6"/>
        <v>rokprognozy=2026 i lp=260</v>
      </c>
      <c r="S35" s="36" t="str">
        <f t="shared" si="6"/>
        <v>rokprognozy=2027 i lp=260</v>
      </c>
      <c r="T35" s="36" t="str">
        <f t="shared" si="6"/>
        <v>rokprognozy=2028 i lp=260</v>
      </c>
      <c r="U35" s="36" t="str">
        <f t="shared" si="6"/>
        <v>rokprognozy=2029 i lp=260</v>
      </c>
      <c r="V35" s="36" t="str">
        <f t="shared" si="6"/>
        <v>rokprognozy=2030 i lp=260</v>
      </c>
      <c r="W35" s="36" t="str">
        <f t="shared" si="6"/>
        <v>rokprognozy=2031 i lp=260</v>
      </c>
      <c r="X35" s="36" t="str">
        <f t="shared" si="6"/>
        <v>rokprognozy=2032 i lp=260</v>
      </c>
      <c r="Y35" s="36" t="str">
        <f t="shared" si="6"/>
        <v>rokprognozy=2033 i lp=260</v>
      </c>
      <c r="Z35" s="36" t="str">
        <f t="shared" si="6"/>
        <v>rokprognozy=2034 i lp=260</v>
      </c>
      <c r="AA35" s="36" t="str">
        <f t="shared" si="6"/>
        <v>rokprognozy=2035 i lp=260</v>
      </c>
      <c r="AB35" s="36" t="str">
        <f t="shared" si="6"/>
        <v>rokprognozy=2036 i lp=260</v>
      </c>
      <c r="AC35" s="36" t="str">
        <f t="shared" si="6"/>
        <v>rokprognozy=2037 i lp=260</v>
      </c>
      <c r="AD35" s="36" t="str">
        <f t="shared" si="7"/>
        <v>rokprognozy=2038 i lp=260</v>
      </c>
      <c r="AE35" s="36" t="str">
        <f t="shared" si="7"/>
        <v>rokprognozy=2039 i lp=260</v>
      </c>
      <c r="AF35" s="36" t="str">
        <f t="shared" si="7"/>
        <v>rokprognozy=2040 i lp=260</v>
      </c>
      <c r="AG35" s="36" t="str">
        <f t="shared" si="7"/>
        <v>rokprognozy=2041 i lp=260</v>
      </c>
      <c r="AH35" s="36" t="str">
        <f t="shared" si="7"/>
        <v>rokprognozy=2042 i lp=260</v>
      </c>
    </row>
    <row r="36" spans="1:34" ht="11.25">
      <c r="A36" s="35">
        <v>270</v>
      </c>
      <c r="B36" s="35" t="s">
        <v>77</v>
      </c>
      <c r="C36" s="36" t="s">
        <v>75</v>
      </c>
      <c r="D36" s="36" t="str">
        <f t="shared" si="3"/>
        <v>rokprognozy=2013 i lp=270</v>
      </c>
      <c r="E36" s="36" t="str">
        <f t="shared" si="4"/>
        <v>rokprognozy=2013 i lp=270</v>
      </c>
      <c r="F36" s="36" t="str">
        <f t="shared" si="4"/>
        <v>rokprognozy=2014 i lp=270</v>
      </c>
      <c r="G36" s="36" t="str">
        <f t="shared" si="4"/>
        <v>rokprognozy=2015 i lp=270</v>
      </c>
      <c r="H36" s="36" t="str">
        <f aca="true" t="shared" si="8" ref="E36:T51">+"rokprognozy="&amp;H$9&amp;" i lp="&amp;$A36</f>
        <v>rokprognozy=2016 i lp=270</v>
      </c>
      <c r="I36" s="36" t="str">
        <f t="shared" si="8"/>
        <v>rokprognozy=2017 i lp=270</v>
      </c>
      <c r="J36" s="36" t="str">
        <f t="shared" si="8"/>
        <v>rokprognozy=2018 i lp=270</v>
      </c>
      <c r="K36" s="36" t="str">
        <f t="shared" si="8"/>
        <v>rokprognozy=2019 i lp=270</v>
      </c>
      <c r="L36" s="36" t="str">
        <f t="shared" si="8"/>
        <v>rokprognozy=2020 i lp=270</v>
      </c>
      <c r="M36" s="36" t="str">
        <f t="shared" si="8"/>
        <v>rokprognozy=2021 i lp=270</v>
      </c>
      <c r="N36" s="36" t="str">
        <f t="shared" si="6"/>
        <v>rokprognozy=2022 i lp=270</v>
      </c>
      <c r="O36" s="36" t="str">
        <f t="shared" si="6"/>
        <v>rokprognozy=2023 i lp=270</v>
      </c>
      <c r="P36" s="36" t="str">
        <f t="shared" si="6"/>
        <v>rokprognozy=2024 i lp=270</v>
      </c>
      <c r="Q36" s="36" t="str">
        <f t="shared" si="6"/>
        <v>rokprognozy=2025 i lp=270</v>
      </c>
      <c r="R36" s="36" t="str">
        <f t="shared" si="6"/>
        <v>rokprognozy=2026 i lp=270</v>
      </c>
      <c r="S36" s="36" t="str">
        <f t="shared" si="6"/>
        <v>rokprognozy=2027 i lp=270</v>
      </c>
      <c r="T36" s="36" t="str">
        <f t="shared" si="6"/>
        <v>rokprognozy=2028 i lp=270</v>
      </c>
      <c r="U36" s="36" t="str">
        <f t="shared" si="6"/>
        <v>rokprognozy=2029 i lp=270</v>
      </c>
      <c r="V36" s="36" t="str">
        <f t="shared" si="6"/>
        <v>rokprognozy=2030 i lp=270</v>
      </c>
      <c r="W36" s="36" t="str">
        <f t="shared" si="6"/>
        <v>rokprognozy=2031 i lp=270</v>
      </c>
      <c r="X36" s="36" t="str">
        <f t="shared" si="6"/>
        <v>rokprognozy=2032 i lp=270</v>
      </c>
      <c r="Y36" s="36" t="str">
        <f t="shared" si="6"/>
        <v>rokprognozy=2033 i lp=270</v>
      </c>
      <c r="Z36" s="36" t="str">
        <f t="shared" si="6"/>
        <v>rokprognozy=2034 i lp=270</v>
      </c>
      <c r="AA36" s="36" t="str">
        <f t="shared" si="6"/>
        <v>rokprognozy=2035 i lp=270</v>
      </c>
      <c r="AB36" s="36" t="str">
        <f t="shared" si="6"/>
        <v>rokprognozy=2036 i lp=270</v>
      </c>
      <c r="AC36" s="36" t="str">
        <f t="shared" si="6"/>
        <v>rokprognozy=2037 i lp=270</v>
      </c>
      <c r="AD36" s="36" t="str">
        <f t="shared" si="7"/>
        <v>rokprognozy=2038 i lp=270</v>
      </c>
      <c r="AE36" s="36" t="str">
        <f t="shared" si="7"/>
        <v>rokprognozy=2039 i lp=270</v>
      </c>
      <c r="AF36" s="36" t="str">
        <f t="shared" si="7"/>
        <v>rokprognozy=2040 i lp=270</v>
      </c>
      <c r="AG36" s="36" t="str">
        <f t="shared" si="7"/>
        <v>rokprognozy=2041 i lp=270</v>
      </c>
      <c r="AH36" s="36" t="str">
        <f t="shared" si="7"/>
        <v>rokprognozy=2042 i lp=270</v>
      </c>
    </row>
    <row r="37" spans="1:34" ht="11.25">
      <c r="A37" s="35">
        <v>280</v>
      </c>
      <c r="B37" s="35">
        <v>4.4</v>
      </c>
      <c r="C37" s="36" t="s">
        <v>78</v>
      </c>
      <c r="D37" s="36" t="str">
        <f t="shared" si="3"/>
        <v>rokprognozy=2013 i lp=280</v>
      </c>
      <c r="E37" s="36" t="str">
        <f t="shared" si="8"/>
        <v>rokprognozy=2013 i lp=280</v>
      </c>
      <c r="F37" s="36" t="str">
        <f t="shared" si="8"/>
        <v>rokprognozy=2014 i lp=280</v>
      </c>
      <c r="G37" s="36" t="str">
        <f t="shared" si="8"/>
        <v>rokprognozy=2015 i lp=280</v>
      </c>
      <c r="H37" s="36" t="str">
        <f t="shared" si="8"/>
        <v>rokprognozy=2016 i lp=280</v>
      </c>
      <c r="I37" s="36" t="str">
        <f t="shared" si="8"/>
        <v>rokprognozy=2017 i lp=280</v>
      </c>
      <c r="J37" s="36" t="str">
        <f t="shared" si="8"/>
        <v>rokprognozy=2018 i lp=280</v>
      </c>
      <c r="K37" s="36" t="str">
        <f t="shared" si="8"/>
        <v>rokprognozy=2019 i lp=280</v>
      </c>
      <c r="L37" s="36" t="str">
        <f t="shared" si="8"/>
        <v>rokprognozy=2020 i lp=280</v>
      </c>
      <c r="M37" s="36" t="str">
        <f t="shared" si="8"/>
        <v>rokprognozy=2021 i lp=280</v>
      </c>
      <c r="N37" s="36" t="str">
        <f t="shared" si="6"/>
        <v>rokprognozy=2022 i lp=280</v>
      </c>
      <c r="O37" s="36" t="str">
        <f t="shared" si="6"/>
        <v>rokprognozy=2023 i lp=280</v>
      </c>
      <c r="P37" s="36" t="str">
        <f t="shared" si="6"/>
        <v>rokprognozy=2024 i lp=280</v>
      </c>
      <c r="Q37" s="36" t="str">
        <f t="shared" si="6"/>
        <v>rokprognozy=2025 i lp=280</v>
      </c>
      <c r="R37" s="36" t="str">
        <f t="shared" si="6"/>
        <v>rokprognozy=2026 i lp=280</v>
      </c>
      <c r="S37" s="36" t="str">
        <f t="shared" si="6"/>
        <v>rokprognozy=2027 i lp=280</v>
      </c>
      <c r="T37" s="36" t="str">
        <f t="shared" si="6"/>
        <v>rokprognozy=2028 i lp=280</v>
      </c>
      <c r="U37" s="36" t="str">
        <f t="shared" si="6"/>
        <v>rokprognozy=2029 i lp=280</v>
      </c>
      <c r="V37" s="36" t="str">
        <f t="shared" si="6"/>
        <v>rokprognozy=2030 i lp=280</v>
      </c>
      <c r="W37" s="36" t="str">
        <f t="shared" si="6"/>
        <v>rokprognozy=2031 i lp=280</v>
      </c>
      <c r="X37" s="36" t="str">
        <f t="shared" si="6"/>
        <v>rokprognozy=2032 i lp=280</v>
      </c>
      <c r="Y37" s="36" t="str">
        <f t="shared" si="6"/>
        <v>rokprognozy=2033 i lp=280</v>
      </c>
      <c r="Z37" s="36" t="str">
        <f t="shared" si="6"/>
        <v>rokprognozy=2034 i lp=280</v>
      </c>
      <c r="AA37" s="36" t="str">
        <f t="shared" si="6"/>
        <v>rokprognozy=2035 i lp=280</v>
      </c>
      <c r="AB37" s="36" t="str">
        <f t="shared" si="6"/>
        <v>rokprognozy=2036 i lp=280</v>
      </c>
      <c r="AC37" s="36" t="str">
        <f t="shared" si="6"/>
        <v>rokprognozy=2037 i lp=280</v>
      </c>
      <c r="AD37" s="36" t="str">
        <f t="shared" si="7"/>
        <v>rokprognozy=2038 i lp=280</v>
      </c>
      <c r="AE37" s="36" t="str">
        <f t="shared" si="7"/>
        <v>rokprognozy=2039 i lp=280</v>
      </c>
      <c r="AF37" s="36" t="str">
        <f t="shared" si="7"/>
        <v>rokprognozy=2040 i lp=280</v>
      </c>
      <c r="AG37" s="36" t="str">
        <f t="shared" si="7"/>
        <v>rokprognozy=2041 i lp=280</v>
      </c>
      <c r="AH37" s="36" t="str">
        <f t="shared" si="7"/>
        <v>rokprognozy=2042 i lp=280</v>
      </c>
    </row>
    <row r="38" spans="1:34" ht="11.25">
      <c r="A38" s="35">
        <v>290</v>
      </c>
      <c r="B38" s="35" t="s">
        <v>79</v>
      </c>
      <c r="C38" s="36" t="s">
        <v>75</v>
      </c>
      <c r="D38" s="36" t="str">
        <f t="shared" si="3"/>
        <v>rokprognozy=2013 i lp=290</v>
      </c>
      <c r="E38" s="36" t="str">
        <f t="shared" si="8"/>
        <v>rokprognozy=2013 i lp=290</v>
      </c>
      <c r="F38" s="36" t="str">
        <f t="shared" si="8"/>
        <v>rokprognozy=2014 i lp=290</v>
      </c>
      <c r="G38" s="36" t="str">
        <f t="shared" si="8"/>
        <v>rokprognozy=2015 i lp=290</v>
      </c>
      <c r="H38" s="36" t="str">
        <f t="shared" si="8"/>
        <v>rokprognozy=2016 i lp=290</v>
      </c>
      <c r="I38" s="36" t="str">
        <f t="shared" si="8"/>
        <v>rokprognozy=2017 i lp=290</v>
      </c>
      <c r="J38" s="36" t="str">
        <f t="shared" si="8"/>
        <v>rokprognozy=2018 i lp=290</v>
      </c>
      <c r="K38" s="36" t="str">
        <f t="shared" si="8"/>
        <v>rokprognozy=2019 i lp=290</v>
      </c>
      <c r="L38" s="36" t="str">
        <f t="shared" si="8"/>
        <v>rokprognozy=2020 i lp=290</v>
      </c>
      <c r="M38" s="36" t="str">
        <f t="shared" si="8"/>
        <v>rokprognozy=2021 i lp=290</v>
      </c>
      <c r="N38" s="36" t="str">
        <f t="shared" si="6"/>
        <v>rokprognozy=2022 i lp=290</v>
      </c>
      <c r="O38" s="36" t="str">
        <f t="shared" si="6"/>
        <v>rokprognozy=2023 i lp=290</v>
      </c>
      <c r="P38" s="36" t="str">
        <f t="shared" si="6"/>
        <v>rokprognozy=2024 i lp=290</v>
      </c>
      <c r="Q38" s="36" t="str">
        <f t="shared" si="6"/>
        <v>rokprognozy=2025 i lp=290</v>
      </c>
      <c r="R38" s="36" t="str">
        <f t="shared" si="6"/>
        <v>rokprognozy=2026 i lp=290</v>
      </c>
      <c r="S38" s="36" t="str">
        <f t="shared" si="6"/>
        <v>rokprognozy=2027 i lp=290</v>
      </c>
      <c r="T38" s="36" t="str">
        <f t="shared" si="6"/>
        <v>rokprognozy=2028 i lp=290</v>
      </c>
      <c r="U38" s="36" t="str">
        <f t="shared" si="6"/>
        <v>rokprognozy=2029 i lp=290</v>
      </c>
      <c r="V38" s="36" t="str">
        <f t="shared" si="6"/>
        <v>rokprognozy=2030 i lp=290</v>
      </c>
      <c r="W38" s="36" t="str">
        <f t="shared" si="6"/>
        <v>rokprognozy=2031 i lp=290</v>
      </c>
      <c r="X38" s="36" t="str">
        <f t="shared" si="6"/>
        <v>rokprognozy=2032 i lp=290</v>
      </c>
      <c r="Y38" s="36" t="str">
        <f t="shared" si="6"/>
        <v>rokprognozy=2033 i lp=290</v>
      </c>
      <c r="Z38" s="36" t="str">
        <f t="shared" si="6"/>
        <v>rokprognozy=2034 i lp=290</v>
      </c>
      <c r="AA38" s="36" t="str">
        <f t="shared" si="6"/>
        <v>rokprognozy=2035 i lp=290</v>
      </c>
      <c r="AB38" s="36" t="str">
        <f t="shared" si="6"/>
        <v>rokprognozy=2036 i lp=290</v>
      </c>
      <c r="AC38" s="36" t="str">
        <f>+"rokprognozy="&amp;AC$9&amp;" i lp="&amp;$A38</f>
        <v>rokprognozy=2037 i lp=290</v>
      </c>
      <c r="AD38" s="36" t="str">
        <f t="shared" si="7"/>
        <v>rokprognozy=2038 i lp=290</v>
      </c>
      <c r="AE38" s="36" t="str">
        <f t="shared" si="7"/>
        <v>rokprognozy=2039 i lp=290</v>
      </c>
      <c r="AF38" s="36" t="str">
        <f t="shared" si="7"/>
        <v>rokprognozy=2040 i lp=290</v>
      </c>
      <c r="AG38" s="36" t="str">
        <f t="shared" si="7"/>
        <v>rokprognozy=2041 i lp=290</v>
      </c>
      <c r="AH38" s="36" t="str">
        <f t="shared" si="7"/>
        <v>rokprognozy=2042 i lp=290</v>
      </c>
    </row>
    <row r="39" spans="1:34" ht="11.25">
      <c r="A39" s="35">
        <v>300</v>
      </c>
      <c r="B39" s="35">
        <v>5</v>
      </c>
      <c r="C39" s="36" t="s">
        <v>80</v>
      </c>
      <c r="D39" s="36" t="str">
        <f t="shared" si="3"/>
        <v>rokprognozy=2013 i lp=300</v>
      </c>
      <c r="E39" s="36" t="str">
        <f t="shared" si="8"/>
        <v>rokprognozy=2013 i lp=300</v>
      </c>
      <c r="F39" s="36" t="str">
        <f t="shared" si="8"/>
        <v>rokprognozy=2014 i lp=300</v>
      </c>
      <c r="G39" s="36" t="str">
        <f t="shared" si="8"/>
        <v>rokprognozy=2015 i lp=300</v>
      </c>
      <c r="H39" s="36" t="str">
        <f t="shared" si="8"/>
        <v>rokprognozy=2016 i lp=300</v>
      </c>
      <c r="I39" s="36" t="str">
        <f t="shared" si="8"/>
        <v>rokprognozy=2017 i lp=300</v>
      </c>
      <c r="J39" s="36" t="str">
        <f t="shared" si="8"/>
        <v>rokprognozy=2018 i lp=300</v>
      </c>
      <c r="K39" s="36" t="str">
        <f t="shared" si="8"/>
        <v>rokprognozy=2019 i lp=300</v>
      </c>
      <c r="L39" s="36" t="str">
        <f t="shared" si="8"/>
        <v>rokprognozy=2020 i lp=300</v>
      </c>
      <c r="M39" s="36" t="str">
        <f t="shared" si="8"/>
        <v>rokprognozy=2021 i lp=300</v>
      </c>
      <c r="N39" s="36" t="str">
        <f t="shared" si="8"/>
        <v>rokprognozy=2022 i lp=300</v>
      </c>
      <c r="O39" s="36" t="str">
        <f t="shared" si="8"/>
        <v>rokprognozy=2023 i lp=300</v>
      </c>
      <c r="P39" s="36" t="str">
        <f t="shared" si="8"/>
        <v>rokprognozy=2024 i lp=300</v>
      </c>
      <c r="Q39" s="36" t="str">
        <f t="shared" si="8"/>
        <v>rokprognozy=2025 i lp=300</v>
      </c>
      <c r="R39" s="36" t="str">
        <f t="shared" si="8"/>
        <v>rokprognozy=2026 i lp=300</v>
      </c>
      <c r="S39" s="36" t="str">
        <f t="shared" si="8"/>
        <v>rokprognozy=2027 i lp=300</v>
      </c>
      <c r="T39" s="36" t="str">
        <f t="shared" si="8"/>
        <v>rokprognozy=2028 i lp=300</v>
      </c>
      <c r="U39" s="36" t="str">
        <f aca="true" t="shared" si="9" ref="N39:AC55">+"rokprognozy="&amp;U$9&amp;" i lp="&amp;$A39</f>
        <v>rokprognozy=2029 i lp=300</v>
      </c>
      <c r="V39" s="36" t="str">
        <f t="shared" si="9"/>
        <v>rokprognozy=2030 i lp=300</v>
      </c>
      <c r="W39" s="36" t="str">
        <f t="shared" si="9"/>
        <v>rokprognozy=2031 i lp=300</v>
      </c>
      <c r="X39" s="36" t="str">
        <f t="shared" si="9"/>
        <v>rokprognozy=2032 i lp=300</v>
      </c>
      <c r="Y39" s="36" t="str">
        <f t="shared" si="9"/>
        <v>rokprognozy=2033 i lp=300</v>
      </c>
      <c r="Z39" s="36" t="str">
        <f t="shared" si="9"/>
        <v>rokprognozy=2034 i lp=300</v>
      </c>
      <c r="AA39" s="36" t="str">
        <f t="shared" si="9"/>
        <v>rokprognozy=2035 i lp=300</v>
      </c>
      <c r="AB39" s="36" t="str">
        <f t="shared" si="9"/>
        <v>rokprognozy=2036 i lp=300</v>
      </c>
      <c r="AC39" s="36" t="str">
        <f t="shared" si="9"/>
        <v>rokprognozy=2037 i lp=300</v>
      </c>
      <c r="AD39" s="36" t="str">
        <f t="shared" si="7"/>
        <v>rokprognozy=2038 i lp=300</v>
      </c>
      <c r="AE39" s="36" t="str">
        <f t="shared" si="7"/>
        <v>rokprognozy=2039 i lp=300</v>
      </c>
      <c r="AF39" s="36" t="str">
        <f t="shared" si="7"/>
        <v>rokprognozy=2040 i lp=300</v>
      </c>
      <c r="AG39" s="36" t="str">
        <f t="shared" si="7"/>
        <v>rokprognozy=2041 i lp=300</v>
      </c>
      <c r="AH39" s="36" t="str">
        <f t="shared" si="7"/>
        <v>rokprognozy=2042 i lp=300</v>
      </c>
    </row>
    <row r="40" spans="1:34" ht="11.25">
      <c r="A40" s="35">
        <v>310</v>
      </c>
      <c r="B40" s="35">
        <v>5.1</v>
      </c>
      <c r="C40" s="36" t="s">
        <v>81</v>
      </c>
      <c r="D40" s="36" t="str">
        <f t="shared" si="3"/>
        <v>rokprognozy=2013 i lp=310</v>
      </c>
      <c r="E40" s="36" t="str">
        <f t="shared" si="8"/>
        <v>rokprognozy=2013 i lp=310</v>
      </c>
      <c r="F40" s="36" t="str">
        <f t="shared" si="8"/>
        <v>rokprognozy=2014 i lp=310</v>
      </c>
      <c r="G40" s="36" t="str">
        <f t="shared" si="8"/>
        <v>rokprognozy=2015 i lp=310</v>
      </c>
      <c r="H40" s="36" t="str">
        <f t="shared" si="8"/>
        <v>rokprognozy=2016 i lp=310</v>
      </c>
      <c r="I40" s="36" t="str">
        <f t="shared" si="8"/>
        <v>rokprognozy=2017 i lp=310</v>
      </c>
      <c r="J40" s="36" t="str">
        <f t="shared" si="8"/>
        <v>rokprognozy=2018 i lp=310</v>
      </c>
      <c r="K40" s="36" t="str">
        <f t="shared" si="8"/>
        <v>rokprognozy=2019 i lp=310</v>
      </c>
      <c r="L40" s="36" t="str">
        <f t="shared" si="8"/>
        <v>rokprognozy=2020 i lp=310</v>
      </c>
      <c r="M40" s="36" t="str">
        <f t="shared" si="8"/>
        <v>rokprognozy=2021 i lp=310</v>
      </c>
      <c r="N40" s="36" t="str">
        <f t="shared" si="9"/>
        <v>rokprognozy=2022 i lp=310</v>
      </c>
      <c r="O40" s="36" t="str">
        <f t="shared" si="9"/>
        <v>rokprognozy=2023 i lp=310</v>
      </c>
      <c r="P40" s="36" t="str">
        <f t="shared" si="9"/>
        <v>rokprognozy=2024 i lp=310</v>
      </c>
      <c r="Q40" s="36" t="str">
        <f t="shared" si="9"/>
        <v>rokprognozy=2025 i lp=310</v>
      </c>
      <c r="R40" s="36" t="str">
        <f t="shared" si="9"/>
        <v>rokprognozy=2026 i lp=310</v>
      </c>
      <c r="S40" s="36" t="str">
        <f t="shared" si="9"/>
        <v>rokprognozy=2027 i lp=310</v>
      </c>
      <c r="T40" s="36" t="str">
        <f t="shared" si="9"/>
        <v>rokprognozy=2028 i lp=310</v>
      </c>
      <c r="U40" s="36" t="str">
        <f t="shared" si="9"/>
        <v>rokprognozy=2029 i lp=310</v>
      </c>
      <c r="V40" s="36" t="str">
        <f t="shared" si="9"/>
        <v>rokprognozy=2030 i lp=310</v>
      </c>
      <c r="W40" s="36" t="str">
        <f t="shared" si="9"/>
        <v>rokprognozy=2031 i lp=310</v>
      </c>
      <c r="X40" s="36" t="str">
        <f t="shared" si="9"/>
        <v>rokprognozy=2032 i lp=310</v>
      </c>
      <c r="Y40" s="36" t="str">
        <f t="shared" si="9"/>
        <v>rokprognozy=2033 i lp=310</v>
      </c>
      <c r="Z40" s="36" t="str">
        <f t="shared" si="9"/>
        <v>rokprognozy=2034 i lp=310</v>
      </c>
      <c r="AA40" s="36" t="str">
        <f t="shared" si="9"/>
        <v>rokprognozy=2035 i lp=310</v>
      </c>
      <c r="AB40" s="36" t="str">
        <f t="shared" si="9"/>
        <v>rokprognozy=2036 i lp=310</v>
      </c>
      <c r="AC40" s="36" t="str">
        <f t="shared" si="9"/>
        <v>rokprognozy=2037 i lp=310</v>
      </c>
      <c r="AD40" s="36" t="str">
        <f aca="true" t="shared" si="10" ref="AD40:AG59">+"rokprognozy="&amp;AD$9&amp;" i lp="&amp;$A40</f>
        <v>rokprognozy=2038 i lp=310</v>
      </c>
      <c r="AE40" s="36" t="str">
        <f t="shared" si="10"/>
        <v>rokprognozy=2039 i lp=310</v>
      </c>
      <c r="AF40" s="36" t="str">
        <f t="shared" si="10"/>
        <v>rokprognozy=2040 i lp=310</v>
      </c>
      <c r="AG40" s="36" t="str">
        <f t="shared" si="10"/>
        <v>rokprognozy=2041 i lp=310</v>
      </c>
      <c r="AH40" s="36" t="str">
        <f aca="true" t="shared" si="11" ref="AH40:AH59">+"rokprognozy="&amp;AH$9&amp;" i lp="&amp;$A40</f>
        <v>rokprognozy=2042 i lp=310</v>
      </c>
    </row>
    <row r="41" spans="1:34" ht="11.25">
      <c r="A41" s="35">
        <v>320</v>
      </c>
      <c r="B41" s="35" t="s">
        <v>82</v>
      </c>
      <c r="C41" s="36" t="s">
        <v>83</v>
      </c>
      <c r="D41" s="36" t="str">
        <f t="shared" si="3"/>
        <v>rokprognozy=2013 i lp=320</v>
      </c>
      <c r="E41" s="36" t="str">
        <f t="shared" si="8"/>
        <v>rokprognozy=2013 i lp=320</v>
      </c>
      <c r="F41" s="36" t="str">
        <f t="shared" si="8"/>
        <v>rokprognozy=2014 i lp=320</v>
      </c>
      <c r="G41" s="36" t="str">
        <f t="shared" si="8"/>
        <v>rokprognozy=2015 i lp=320</v>
      </c>
      <c r="H41" s="36" t="str">
        <f t="shared" si="8"/>
        <v>rokprognozy=2016 i lp=320</v>
      </c>
      <c r="I41" s="36" t="str">
        <f t="shared" si="8"/>
        <v>rokprognozy=2017 i lp=320</v>
      </c>
      <c r="J41" s="36" t="str">
        <f t="shared" si="8"/>
        <v>rokprognozy=2018 i lp=320</v>
      </c>
      <c r="K41" s="36" t="str">
        <f t="shared" si="8"/>
        <v>rokprognozy=2019 i lp=320</v>
      </c>
      <c r="L41" s="36" t="str">
        <f t="shared" si="8"/>
        <v>rokprognozy=2020 i lp=320</v>
      </c>
      <c r="M41" s="36" t="str">
        <f t="shared" si="8"/>
        <v>rokprognozy=2021 i lp=320</v>
      </c>
      <c r="N41" s="36" t="str">
        <f t="shared" si="9"/>
        <v>rokprognozy=2022 i lp=320</v>
      </c>
      <c r="O41" s="36" t="str">
        <f t="shared" si="9"/>
        <v>rokprognozy=2023 i lp=320</v>
      </c>
      <c r="P41" s="36" t="str">
        <f t="shared" si="9"/>
        <v>rokprognozy=2024 i lp=320</v>
      </c>
      <c r="Q41" s="36" t="str">
        <f t="shared" si="9"/>
        <v>rokprognozy=2025 i lp=320</v>
      </c>
      <c r="R41" s="36" t="str">
        <f t="shared" si="9"/>
        <v>rokprognozy=2026 i lp=320</v>
      </c>
      <c r="S41" s="36" t="str">
        <f t="shared" si="9"/>
        <v>rokprognozy=2027 i lp=320</v>
      </c>
      <c r="T41" s="36" t="str">
        <f t="shared" si="9"/>
        <v>rokprognozy=2028 i lp=320</v>
      </c>
      <c r="U41" s="36" t="str">
        <f t="shared" si="9"/>
        <v>rokprognozy=2029 i lp=320</v>
      </c>
      <c r="V41" s="36" t="str">
        <f t="shared" si="9"/>
        <v>rokprognozy=2030 i lp=320</v>
      </c>
      <c r="W41" s="36" t="str">
        <f t="shared" si="9"/>
        <v>rokprognozy=2031 i lp=320</v>
      </c>
      <c r="X41" s="36" t="str">
        <f t="shared" si="9"/>
        <v>rokprognozy=2032 i lp=320</v>
      </c>
      <c r="Y41" s="36" t="str">
        <f t="shared" si="9"/>
        <v>rokprognozy=2033 i lp=320</v>
      </c>
      <c r="Z41" s="36" t="str">
        <f t="shared" si="9"/>
        <v>rokprognozy=2034 i lp=320</v>
      </c>
      <c r="AA41" s="36" t="str">
        <f t="shared" si="9"/>
        <v>rokprognozy=2035 i lp=320</v>
      </c>
      <c r="AB41" s="36" t="str">
        <f t="shared" si="9"/>
        <v>rokprognozy=2036 i lp=320</v>
      </c>
      <c r="AC41" s="36" t="str">
        <f t="shared" si="9"/>
        <v>rokprognozy=2037 i lp=320</v>
      </c>
      <c r="AD41" s="36" t="str">
        <f t="shared" si="10"/>
        <v>rokprognozy=2038 i lp=320</v>
      </c>
      <c r="AE41" s="36" t="str">
        <f t="shared" si="10"/>
        <v>rokprognozy=2039 i lp=320</v>
      </c>
      <c r="AF41" s="36" t="str">
        <f t="shared" si="10"/>
        <v>rokprognozy=2040 i lp=320</v>
      </c>
      <c r="AG41" s="36" t="str">
        <f t="shared" si="10"/>
        <v>rokprognozy=2041 i lp=320</v>
      </c>
      <c r="AH41" s="36" t="str">
        <f t="shared" si="11"/>
        <v>rokprognozy=2042 i lp=320</v>
      </c>
    </row>
    <row r="42" spans="1:34" ht="11.25">
      <c r="A42" s="35">
        <v>330</v>
      </c>
      <c r="B42" s="35" t="s">
        <v>84</v>
      </c>
      <c r="C42" s="36" t="s">
        <v>85</v>
      </c>
      <c r="D42" s="36" t="str">
        <f t="shared" si="3"/>
        <v>rokprognozy=2013 i lp=330</v>
      </c>
      <c r="E42" s="36" t="str">
        <f t="shared" si="8"/>
        <v>rokprognozy=2013 i lp=330</v>
      </c>
      <c r="F42" s="36" t="str">
        <f t="shared" si="8"/>
        <v>rokprognozy=2014 i lp=330</v>
      </c>
      <c r="G42" s="36" t="str">
        <f t="shared" si="8"/>
        <v>rokprognozy=2015 i lp=330</v>
      </c>
      <c r="H42" s="36" t="str">
        <f t="shared" si="8"/>
        <v>rokprognozy=2016 i lp=330</v>
      </c>
      <c r="I42" s="36" t="str">
        <f t="shared" si="8"/>
        <v>rokprognozy=2017 i lp=330</v>
      </c>
      <c r="J42" s="36" t="str">
        <f t="shared" si="8"/>
        <v>rokprognozy=2018 i lp=330</v>
      </c>
      <c r="K42" s="36" t="str">
        <f t="shared" si="8"/>
        <v>rokprognozy=2019 i lp=330</v>
      </c>
      <c r="L42" s="36" t="str">
        <f t="shared" si="8"/>
        <v>rokprognozy=2020 i lp=330</v>
      </c>
      <c r="M42" s="36" t="str">
        <f t="shared" si="8"/>
        <v>rokprognozy=2021 i lp=330</v>
      </c>
      <c r="N42" s="36" t="str">
        <f t="shared" si="9"/>
        <v>rokprognozy=2022 i lp=330</v>
      </c>
      <c r="O42" s="36" t="str">
        <f t="shared" si="9"/>
        <v>rokprognozy=2023 i lp=330</v>
      </c>
      <c r="P42" s="36" t="str">
        <f t="shared" si="9"/>
        <v>rokprognozy=2024 i lp=330</v>
      </c>
      <c r="Q42" s="36" t="str">
        <f t="shared" si="9"/>
        <v>rokprognozy=2025 i lp=330</v>
      </c>
      <c r="R42" s="36" t="str">
        <f t="shared" si="9"/>
        <v>rokprognozy=2026 i lp=330</v>
      </c>
      <c r="S42" s="36" t="str">
        <f t="shared" si="9"/>
        <v>rokprognozy=2027 i lp=330</v>
      </c>
      <c r="T42" s="36" t="str">
        <f t="shared" si="9"/>
        <v>rokprognozy=2028 i lp=330</v>
      </c>
      <c r="U42" s="36" t="str">
        <f t="shared" si="9"/>
        <v>rokprognozy=2029 i lp=330</v>
      </c>
      <c r="V42" s="36" t="str">
        <f t="shared" si="9"/>
        <v>rokprognozy=2030 i lp=330</v>
      </c>
      <c r="W42" s="36" t="str">
        <f t="shared" si="9"/>
        <v>rokprognozy=2031 i lp=330</v>
      </c>
      <c r="X42" s="36" t="str">
        <f t="shared" si="9"/>
        <v>rokprognozy=2032 i lp=330</v>
      </c>
      <c r="Y42" s="36" t="str">
        <f t="shared" si="9"/>
        <v>rokprognozy=2033 i lp=330</v>
      </c>
      <c r="Z42" s="36" t="str">
        <f t="shared" si="9"/>
        <v>rokprognozy=2034 i lp=330</v>
      </c>
      <c r="AA42" s="36" t="str">
        <f t="shared" si="9"/>
        <v>rokprognozy=2035 i lp=330</v>
      </c>
      <c r="AB42" s="36" t="str">
        <f t="shared" si="9"/>
        <v>rokprognozy=2036 i lp=330</v>
      </c>
      <c r="AC42" s="36" t="str">
        <f t="shared" si="9"/>
        <v>rokprognozy=2037 i lp=330</v>
      </c>
      <c r="AD42" s="36" t="str">
        <f t="shared" si="10"/>
        <v>rokprognozy=2038 i lp=330</v>
      </c>
      <c r="AE42" s="36" t="str">
        <f t="shared" si="10"/>
        <v>rokprognozy=2039 i lp=330</v>
      </c>
      <c r="AF42" s="36" t="str">
        <f t="shared" si="10"/>
        <v>rokprognozy=2040 i lp=330</v>
      </c>
      <c r="AG42" s="36" t="str">
        <f t="shared" si="10"/>
        <v>rokprognozy=2041 i lp=330</v>
      </c>
      <c r="AH42" s="36" t="str">
        <f t="shared" si="11"/>
        <v>rokprognozy=2042 i lp=330</v>
      </c>
    </row>
    <row r="43" spans="1:34" ht="11.25">
      <c r="A43" s="35">
        <v>340</v>
      </c>
      <c r="B43" s="35">
        <v>5.2</v>
      </c>
      <c r="C43" s="36" t="s">
        <v>86</v>
      </c>
      <c r="D43" s="36" t="str">
        <f t="shared" si="3"/>
        <v>rokprognozy=2013 i lp=340</v>
      </c>
      <c r="E43" s="36" t="str">
        <f t="shared" si="8"/>
        <v>rokprognozy=2013 i lp=340</v>
      </c>
      <c r="F43" s="36" t="str">
        <f t="shared" si="8"/>
        <v>rokprognozy=2014 i lp=340</v>
      </c>
      <c r="G43" s="36" t="str">
        <f t="shared" si="8"/>
        <v>rokprognozy=2015 i lp=340</v>
      </c>
      <c r="H43" s="36" t="str">
        <f t="shared" si="8"/>
        <v>rokprognozy=2016 i lp=340</v>
      </c>
      <c r="I43" s="36" t="str">
        <f t="shared" si="8"/>
        <v>rokprognozy=2017 i lp=340</v>
      </c>
      <c r="J43" s="36" t="str">
        <f t="shared" si="8"/>
        <v>rokprognozy=2018 i lp=340</v>
      </c>
      <c r="K43" s="36" t="str">
        <f t="shared" si="8"/>
        <v>rokprognozy=2019 i lp=340</v>
      </c>
      <c r="L43" s="36" t="str">
        <f t="shared" si="8"/>
        <v>rokprognozy=2020 i lp=340</v>
      </c>
      <c r="M43" s="36" t="str">
        <f t="shared" si="8"/>
        <v>rokprognozy=2021 i lp=340</v>
      </c>
      <c r="N43" s="36" t="str">
        <f t="shared" si="9"/>
        <v>rokprognozy=2022 i lp=340</v>
      </c>
      <c r="O43" s="36" t="str">
        <f t="shared" si="9"/>
        <v>rokprognozy=2023 i lp=340</v>
      </c>
      <c r="P43" s="36" t="str">
        <f t="shared" si="9"/>
        <v>rokprognozy=2024 i lp=340</v>
      </c>
      <c r="Q43" s="36" t="str">
        <f t="shared" si="9"/>
        <v>rokprognozy=2025 i lp=340</v>
      </c>
      <c r="R43" s="36" t="str">
        <f t="shared" si="9"/>
        <v>rokprognozy=2026 i lp=340</v>
      </c>
      <c r="S43" s="36" t="str">
        <f t="shared" si="9"/>
        <v>rokprognozy=2027 i lp=340</v>
      </c>
      <c r="T43" s="36" t="str">
        <f t="shared" si="9"/>
        <v>rokprognozy=2028 i lp=340</v>
      </c>
      <c r="U43" s="36" t="str">
        <f t="shared" si="9"/>
        <v>rokprognozy=2029 i lp=340</v>
      </c>
      <c r="V43" s="36" t="str">
        <f t="shared" si="9"/>
        <v>rokprognozy=2030 i lp=340</v>
      </c>
      <c r="W43" s="36" t="str">
        <f t="shared" si="9"/>
        <v>rokprognozy=2031 i lp=340</v>
      </c>
      <c r="X43" s="36" t="str">
        <f t="shared" si="9"/>
        <v>rokprognozy=2032 i lp=340</v>
      </c>
      <c r="Y43" s="36" t="str">
        <f t="shared" si="9"/>
        <v>rokprognozy=2033 i lp=340</v>
      </c>
      <c r="Z43" s="36" t="str">
        <f t="shared" si="9"/>
        <v>rokprognozy=2034 i lp=340</v>
      </c>
      <c r="AA43" s="36" t="str">
        <f t="shared" si="9"/>
        <v>rokprognozy=2035 i lp=340</v>
      </c>
      <c r="AB43" s="36" t="str">
        <f t="shared" si="9"/>
        <v>rokprognozy=2036 i lp=340</v>
      </c>
      <c r="AC43" s="36" t="str">
        <f t="shared" si="9"/>
        <v>rokprognozy=2037 i lp=340</v>
      </c>
      <c r="AD43" s="36" t="str">
        <f t="shared" si="10"/>
        <v>rokprognozy=2038 i lp=340</v>
      </c>
      <c r="AE43" s="36" t="str">
        <f t="shared" si="10"/>
        <v>rokprognozy=2039 i lp=340</v>
      </c>
      <c r="AF43" s="36" t="str">
        <f t="shared" si="10"/>
        <v>rokprognozy=2040 i lp=340</v>
      </c>
      <c r="AG43" s="36" t="str">
        <f t="shared" si="10"/>
        <v>rokprognozy=2041 i lp=340</v>
      </c>
      <c r="AH43" s="36" t="str">
        <f t="shared" si="11"/>
        <v>rokprognozy=2042 i lp=340</v>
      </c>
    </row>
    <row r="44" spans="1:34" ht="11.25">
      <c r="A44" s="35">
        <v>350</v>
      </c>
      <c r="B44" s="35">
        <v>6</v>
      </c>
      <c r="C44" s="36" t="s">
        <v>27</v>
      </c>
      <c r="D44" s="36" t="str">
        <f t="shared" si="3"/>
        <v>rokprognozy=2013 i lp=350</v>
      </c>
      <c r="E44" s="36" t="str">
        <f t="shared" si="8"/>
        <v>rokprognozy=2013 i lp=350</v>
      </c>
      <c r="F44" s="36" t="str">
        <f t="shared" si="8"/>
        <v>rokprognozy=2014 i lp=350</v>
      </c>
      <c r="G44" s="36" t="str">
        <f t="shared" si="8"/>
        <v>rokprognozy=2015 i lp=350</v>
      </c>
      <c r="H44" s="36" t="str">
        <f t="shared" si="8"/>
        <v>rokprognozy=2016 i lp=350</v>
      </c>
      <c r="I44" s="36" t="str">
        <f t="shared" si="8"/>
        <v>rokprognozy=2017 i lp=350</v>
      </c>
      <c r="J44" s="36" t="str">
        <f t="shared" si="8"/>
        <v>rokprognozy=2018 i lp=350</v>
      </c>
      <c r="K44" s="36" t="str">
        <f t="shared" si="8"/>
        <v>rokprognozy=2019 i lp=350</v>
      </c>
      <c r="L44" s="36" t="str">
        <f t="shared" si="8"/>
        <v>rokprognozy=2020 i lp=350</v>
      </c>
      <c r="M44" s="36" t="str">
        <f t="shared" si="8"/>
        <v>rokprognozy=2021 i lp=350</v>
      </c>
      <c r="N44" s="36" t="str">
        <f t="shared" si="9"/>
        <v>rokprognozy=2022 i lp=350</v>
      </c>
      <c r="O44" s="36" t="str">
        <f t="shared" si="9"/>
        <v>rokprognozy=2023 i lp=350</v>
      </c>
      <c r="P44" s="36" t="str">
        <f t="shared" si="9"/>
        <v>rokprognozy=2024 i lp=350</v>
      </c>
      <c r="Q44" s="36" t="str">
        <f t="shared" si="9"/>
        <v>rokprognozy=2025 i lp=350</v>
      </c>
      <c r="R44" s="36" t="str">
        <f t="shared" si="9"/>
        <v>rokprognozy=2026 i lp=350</v>
      </c>
      <c r="S44" s="36" t="str">
        <f t="shared" si="9"/>
        <v>rokprognozy=2027 i lp=350</v>
      </c>
      <c r="T44" s="36" t="str">
        <f t="shared" si="9"/>
        <v>rokprognozy=2028 i lp=350</v>
      </c>
      <c r="U44" s="36" t="str">
        <f t="shared" si="9"/>
        <v>rokprognozy=2029 i lp=350</v>
      </c>
      <c r="V44" s="36" t="str">
        <f t="shared" si="9"/>
        <v>rokprognozy=2030 i lp=350</v>
      </c>
      <c r="W44" s="36" t="str">
        <f t="shared" si="9"/>
        <v>rokprognozy=2031 i lp=350</v>
      </c>
      <c r="X44" s="36" t="str">
        <f t="shared" si="9"/>
        <v>rokprognozy=2032 i lp=350</v>
      </c>
      <c r="Y44" s="36" t="str">
        <f t="shared" si="9"/>
        <v>rokprognozy=2033 i lp=350</v>
      </c>
      <c r="Z44" s="36" t="str">
        <f t="shared" si="9"/>
        <v>rokprognozy=2034 i lp=350</v>
      </c>
      <c r="AA44" s="36" t="str">
        <f t="shared" si="9"/>
        <v>rokprognozy=2035 i lp=350</v>
      </c>
      <c r="AB44" s="36" t="str">
        <f t="shared" si="9"/>
        <v>rokprognozy=2036 i lp=350</v>
      </c>
      <c r="AC44" s="36" t="str">
        <f t="shared" si="9"/>
        <v>rokprognozy=2037 i lp=350</v>
      </c>
      <c r="AD44" s="36" t="str">
        <f t="shared" si="10"/>
        <v>rokprognozy=2038 i lp=350</v>
      </c>
      <c r="AE44" s="36" t="str">
        <f t="shared" si="10"/>
        <v>rokprognozy=2039 i lp=350</v>
      </c>
      <c r="AF44" s="36" t="str">
        <f t="shared" si="10"/>
        <v>rokprognozy=2040 i lp=350</v>
      </c>
      <c r="AG44" s="36" t="str">
        <f t="shared" si="10"/>
        <v>rokprognozy=2041 i lp=350</v>
      </c>
      <c r="AH44" s="36" t="str">
        <f t="shared" si="11"/>
        <v>rokprognozy=2042 i lp=350</v>
      </c>
    </row>
    <row r="45" spans="1:34" ht="11.25">
      <c r="A45" s="35">
        <v>360</v>
      </c>
      <c r="B45" s="35">
        <v>6.1</v>
      </c>
      <c r="C45" s="36" t="s">
        <v>87</v>
      </c>
      <c r="D45" s="36" t="str">
        <f t="shared" si="3"/>
        <v>rokprognozy=2013 i lp=360</v>
      </c>
      <c r="E45" s="36" t="str">
        <f t="shared" si="8"/>
        <v>rokprognozy=2013 i lp=360</v>
      </c>
      <c r="F45" s="36" t="str">
        <f t="shared" si="8"/>
        <v>rokprognozy=2014 i lp=360</v>
      </c>
      <c r="G45" s="36" t="str">
        <f t="shared" si="8"/>
        <v>rokprognozy=2015 i lp=360</v>
      </c>
      <c r="H45" s="36" t="str">
        <f t="shared" si="8"/>
        <v>rokprognozy=2016 i lp=360</v>
      </c>
      <c r="I45" s="36" t="str">
        <f t="shared" si="8"/>
        <v>rokprognozy=2017 i lp=360</v>
      </c>
      <c r="J45" s="36" t="str">
        <f t="shared" si="8"/>
        <v>rokprognozy=2018 i lp=360</v>
      </c>
      <c r="K45" s="36" t="str">
        <f t="shared" si="8"/>
        <v>rokprognozy=2019 i lp=360</v>
      </c>
      <c r="L45" s="36" t="str">
        <f t="shared" si="8"/>
        <v>rokprognozy=2020 i lp=360</v>
      </c>
      <c r="M45" s="36" t="str">
        <f t="shared" si="8"/>
        <v>rokprognozy=2021 i lp=360</v>
      </c>
      <c r="N45" s="36" t="str">
        <f t="shared" si="9"/>
        <v>rokprognozy=2022 i lp=360</v>
      </c>
      <c r="O45" s="36" t="str">
        <f t="shared" si="9"/>
        <v>rokprognozy=2023 i lp=360</v>
      </c>
      <c r="P45" s="36" t="str">
        <f t="shared" si="9"/>
        <v>rokprognozy=2024 i lp=360</v>
      </c>
      <c r="Q45" s="36" t="str">
        <f t="shared" si="9"/>
        <v>rokprognozy=2025 i lp=360</v>
      </c>
      <c r="R45" s="36" t="str">
        <f t="shared" si="9"/>
        <v>rokprognozy=2026 i lp=360</v>
      </c>
      <c r="S45" s="36" t="str">
        <f t="shared" si="9"/>
        <v>rokprognozy=2027 i lp=360</v>
      </c>
      <c r="T45" s="36" t="str">
        <f t="shared" si="9"/>
        <v>rokprognozy=2028 i lp=360</v>
      </c>
      <c r="U45" s="36" t="str">
        <f t="shared" si="9"/>
        <v>rokprognozy=2029 i lp=360</v>
      </c>
      <c r="V45" s="36" t="str">
        <f t="shared" si="9"/>
        <v>rokprognozy=2030 i lp=360</v>
      </c>
      <c r="W45" s="36" t="str">
        <f t="shared" si="9"/>
        <v>rokprognozy=2031 i lp=360</v>
      </c>
      <c r="X45" s="36" t="str">
        <f t="shared" si="9"/>
        <v>rokprognozy=2032 i lp=360</v>
      </c>
      <c r="Y45" s="36" t="str">
        <f t="shared" si="9"/>
        <v>rokprognozy=2033 i lp=360</v>
      </c>
      <c r="Z45" s="36" t="str">
        <f t="shared" si="9"/>
        <v>rokprognozy=2034 i lp=360</v>
      </c>
      <c r="AA45" s="36" t="str">
        <f t="shared" si="9"/>
        <v>rokprognozy=2035 i lp=360</v>
      </c>
      <c r="AB45" s="36" t="str">
        <f t="shared" si="9"/>
        <v>rokprognozy=2036 i lp=360</v>
      </c>
      <c r="AC45" s="36" t="str">
        <f t="shared" si="9"/>
        <v>rokprognozy=2037 i lp=360</v>
      </c>
      <c r="AD45" s="36" t="str">
        <f t="shared" si="10"/>
        <v>rokprognozy=2038 i lp=360</v>
      </c>
      <c r="AE45" s="36" t="str">
        <f t="shared" si="10"/>
        <v>rokprognozy=2039 i lp=360</v>
      </c>
      <c r="AF45" s="36" t="str">
        <f t="shared" si="10"/>
        <v>rokprognozy=2040 i lp=360</v>
      </c>
      <c r="AG45" s="36" t="str">
        <f t="shared" si="10"/>
        <v>rokprognozy=2041 i lp=360</v>
      </c>
      <c r="AH45" s="36" t="str">
        <f t="shared" si="11"/>
        <v>rokprognozy=2042 i lp=360</v>
      </c>
    </row>
    <row r="46" spans="1:34" ht="11.25">
      <c r="A46" s="35">
        <v>370</v>
      </c>
      <c r="B46" s="35" t="s">
        <v>88</v>
      </c>
      <c r="C46" s="36" t="s">
        <v>89</v>
      </c>
      <c r="D46" s="36" t="str">
        <f t="shared" si="3"/>
        <v>rokprognozy=2013 i lp=370</v>
      </c>
      <c r="E46" s="36" t="str">
        <f t="shared" si="8"/>
        <v>rokprognozy=2013 i lp=370</v>
      </c>
      <c r="F46" s="36" t="str">
        <f t="shared" si="8"/>
        <v>rokprognozy=2014 i lp=370</v>
      </c>
      <c r="G46" s="36" t="str">
        <f t="shared" si="8"/>
        <v>rokprognozy=2015 i lp=370</v>
      </c>
      <c r="H46" s="36" t="str">
        <f t="shared" si="8"/>
        <v>rokprognozy=2016 i lp=370</v>
      </c>
      <c r="I46" s="36" t="str">
        <f t="shared" si="8"/>
        <v>rokprognozy=2017 i lp=370</v>
      </c>
      <c r="J46" s="36" t="str">
        <f t="shared" si="8"/>
        <v>rokprognozy=2018 i lp=370</v>
      </c>
      <c r="K46" s="36" t="str">
        <f t="shared" si="8"/>
        <v>rokprognozy=2019 i lp=370</v>
      </c>
      <c r="L46" s="36" t="str">
        <f t="shared" si="8"/>
        <v>rokprognozy=2020 i lp=370</v>
      </c>
      <c r="M46" s="36" t="str">
        <f t="shared" si="8"/>
        <v>rokprognozy=2021 i lp=370</v>
      </c>
      <c r="N46" s="36" t="str">
        <f t="shared" si="9"/>
        <v>rokprognozy=2022 i lp=370</v>
      </c>
      <c r="O46" s="36" t="str">
        <f t="shared" si="9"/>
        <v>rokprognozy=2023 i lp=370</v>
      </c>
      <c r="P46" s="36" t="str">
        <f t="shared" si="9"/>
        <v>rokprognozy=2024 i lp=370</v>
      </c>
      <c r="Q46" s="36" t="str">
        <f t="shared" si="9"/>
        <v>rokprognozy=2025 i lp=370</v>
      </c>
      <c r="R46" s="36" t="str">
        <f t="shared" si="9"/>
        <v>rokprognozy=2026 i lp=370</v>
      </c>
      <c r="S46" s="36" t="str">
        <f t="shared" si="9"/>
        <v>rokprognozy=2027 i lp=370</v>
      </c>
      <c r="T46" s="36" t="str">
        <f t="shared" si="9"/>
        <v>rokprognozy=2028 i lp=370</v>
      </c>
      <c r="U46" s="36" t="str">
        <f t="shared" si="9"/>
        <v>rokprognozy=2029 i lp=370</v>
      </c>
      <c r="V46" s="36" t="str">
        <f t="shared" si="9"/>
        <v>rokprognozy=2030 i lp=370</v>
      </c>
      <c r="W46" s="36" t="str">
        <f t="shared" si="9"/>
        <v>rokprognozy=2031 i lp=370</v>
      </c>
      <c r="X46" s="36" t="str">
        <f t="shared" si="9"/>
        <v>rokprognozy=2032 i lp=370</v>
      </c>
      <c r="Y46" s="36" t="str">
        <f t="shared" si="9"/>
        <v>rokprognozy=2033 i lp=370</v>
      </c>
      <c r="Z46" s="36" t="str">
        <f t="shared" si="9"/>
        <v>rokprognozy=2034 i lp=370</v>
      </c>
      <c r="AA46" s="36" t="str">
        <f t="shared" si="9"/>
        <v>rokprognozy=2035 i lp=370</v>
      </c>
      <c r="AB46" s="36" t="str">
        <f t="shared" si="9"/>
        <v>rokprognozy=2036 i lp=370</v>
      </c>
      <c r="AC46" s="36" t="str">
        <f t="shared" si="9"/>
        <v>rokprognozy=2037 i lp=370</v>
      </c>
      <c r="AD46" s="36" t="str">
        <f t="shared" si="10"/>
        <v>rokprognozy=2038 i lp=370</v>
      </c>
      <c r="AE46" s="36" t="str">
        <f t="shared" si="10"/>
        <v>rokprognozy=2039 i lp=370</v>
      </c>
      <c r="AF46" s="36" t="str">
        <f t="shared" si="10"/>
        <v>rokprognozy=2040 i lp=370</v>
      </c>
      <c r="AG46" s="36" t="str">
        <f t="shared" si="10"/>
        <v>rokprognozy=2041 i lp=370</v>
      </c>
      <c r="AH46" s="36" t="str">
        <f t="shared" si="11"/>
        <v>rokprognozy=2042 i lp=370</v>
      </c>
    </row>
    <row r="47" spans="1:34" ht="11.25">
      <c r="A47" s="35">
        <v>380</v>
      </c>
      <c r="B47" s="35">
        <v>6.2</v>
      </c>
      <c r="C47" s="36" t="s">
        <v>90</v>
      </c>
      <c r="D47" s="36" t="str">
        <f t="shared" si="3"/>
        <v>rokprognozy=2013 i lp=380</v>
      </c>
      <c r="E47" s="36" t="str">
        <f t="shared" si="8"/>
        <v>rokprognozy=2013 i lp=380</v>
      </c>
      <c r="F47" s="36" t="str">
        <f t="shared" si="8"/>
        <v>rokprognozy=2014 i lp=380</v>
      </c>
      <c r="G47" s="36" t="str">
        <f t="shared" si="8"/>
        <v>rokprognozy=2015 i lp=380</v>
      </c>
      <c r="H47" s="36" t="str">
        <f t="shared" si="8"/>
        <v>rokprognozy=2016 i lp=380</v>
      </c>
      <c r="I47" s="36" t="str">
        <f t="shared" si="8"/>
        <v>rokprognozy=2017 i lp=380</v>
      </c>
      <c r="J47" s="36" t="str">
        <f t="shared" si="8"/>
        <v>rokprognozy=2018 i lp=380</v>
      </c>
      <c r="K47" s="36" t="str">
        <f t="shared" si="8"/>
        <v>rokprognozy=2019 i lp=380</v>
      </c>
      <c r="L47" s="36" t="str">
        <f t="shared" si="8"/>
        <v>rokprognozy=2020 i lp=380</v>
      </c>
      <c r="M47" s="36" t="str">
        <f t="shared" si="8"/>
        <v>rokprognozy=2021 i lp=380</v>
      </c>
      <c r="N47" s="36" t="str">
        <f t="shared" si="9"/>
        <v>rokprognozy=2022 i lp=380</v>
      </c>
      <c r="O47" s="36" t="str">
        <f t="shared" si="9"/>
        <v>rokprognozy=2023 i lp=380</v>
      </c>
      <c r="P47" s="36" t="str">
        <f t="shared" si="9"/>
        <v>rokprognozy=2024 i lp=380</v>
      </c>
      <c r="Q47" s="36" t="str">
        <f t="shared" si="9"/>
        <v>rokprognozy=2025 i lp=380</v>
      </c>
      <c r="R47" s="36" t="str">
        <f t="shared" si="9"/>
        <v>rokprognozy=2026 i lp=380</v>
      </c>
      <c r="S47" s="36" t="str">
        <f t="shared" si="9"/>
        <v>rokprognozy=2027 i lp=380</v>
      </c>
      <c r="T47" s="36" t="str">
        <f t="shared" si="9"/>
        <v>rokprognozy=2028 i lp=380</v>
      </c>
      <c r="U47" s="36" t="str">
        <f t="shared" si="9"/>
        <v>rokprognozy=2029 i lp=380</v>
      </c>
      <c r="V47" s="36" t="str">
        <f t="shared" si="9"/>
        <v>rokprognozy=2030 i lp=380</v>
      </c>
      <c r="W47" s="36" t="str">
        <f t="shared" si="9"/>
        <v>rokprognozy=2031 i lp=380</v>
      </c>
      <c r="X47" s="36" t="str">
        <f t="shared" si="9"/>
        <v>rokprognozy=2032 i lp=380</v>
      </c>
      <c r="Y47" s="36" t="str">
        <f t="shared" si="9"/>
        <v>rokprognozy=2033 i lp=380</v>
      </c>
      <c r="Z47" s="36" t="str">
        <f t="shared" si="9"/>
        <v>rokprognozy=2034 i lp=380</v>
      </c>
      <c r="AA47" s="36" t="str">
        <f t="shared" si="9"/>
        <v>rokprognozy=2035 i lp=380</v>
      </c>
      <c r="AB47" s="36" t="str">
        <f t="shared" si="9"/>
        <v>rokprognozy=2036 i lp=380</v>
      </c>
      <c r="AC47" s="36" t="str">
        <f t="shared" si="9"/>
        <v>rokprognozy=2037 i lp=380</v>
      </c>
      <c r="AD47" s="36" t="str">
        <f t="shared" si="10"/>
        <v>rokprognozy=2038 i lp=380</v>
      </c>
      <c r="AE47" s="36" t="str">
        <f t="shared" si="10"/>
        <v>rokprognozy=2039 i lp=380</v>
      </c>
      <c r="AF47" s="36" t="str">
        <f t="shared" si="10"/>
        <v>rokprognozy=2040 i lp=380</v>
      </c>
      <c r="AG47" s="36" t="str">
        <f t="shared" si="10"/>
        <v>rokprognozy=2041 i lp=380</v>
      </c>
      <c r="AH47" s="36" t="str">
        <f t="shared" si="11"/>
        <v>rokprognozy=2042 i lp=380</v>
      </c>
    </row>
    <row r="48" spans="1:34" ht="11.25">
      <c r="A48" s="35">
        <v>390</v>
      </c>
      <c r="B48" s="35">
        <v>6.3</v>
      </c>
      <c r="C48" s="36" t="s">
        <v>91</v>
      </c>
      <c r="D48" s="36" t="str">
        <f t="shared" si="3"/>
        <v>rokprognozy=2013 i lp=390</v>
      </c>
      <c r="E48" s="36" t="str">
        <f t="shared" si="8"/>
        <v>rokprognozy=2013 i lp=390</v>
      </c>
      <c r="F48" s="36" t="str">
        <f t="shared" si="8"/>
        <v>rokprognozy=2014 i lp=390</v>
      </c>
      <c r="G48" s="36" t="str">
        <f t="shared" si="8"/>
        <v>rokprognozy=2015 i lp=390</v>
      </c>
      <c r="H48" s="36" t="str">
        <f t="shared" si="8"/>
        <v>rokprognozy=2016 i lp=390</v>
      </c>
      <c r="I48" s="36" t="str">
        <f t="shared" si="8"/>
        <v>rokprognozy=2017 i lp=390</v>
      </c>
      <c r="J48" s="36" t="str">
        <f t="shared" si="8"/>
        <v>rokprognozy=2018 i lp=390</v>
      </c>
      <c r="K48" s="36" t="str">
        <f t="shared" si="8"/>
        <v>rokprognozy=2019 i lp=390</v>
      </c>
      <c r="L48" s="36" t="str">
        <f t="shared" si="8"/>
        <v>rokprognozy=2020 i lp=390</v>
      </c>
      <c r="M48" s="36" t="str">
        <f t="shared" si="8"/>
        <v>rokprognozy=2021 i lp=390</v>
      </c>
      <c r="N48" s="36" t="str">
        <f t="shared" si="9"/>
        <v>rokprognozy=2022 i lp=390</v>
      </c>
      <c r="O48" s="36" t="str">
        <f t="shared" si="9"/>
        <v>rokprognozy=2023 i lp=390</v>
      </c>
      <c r="P48" s="36" t="str">
        <f t="shared" si="9"/>
        <v>rokprognozy=2024 i lp=390</v>
      </c>
      <c r="Q48" s="36" t="str">
        <f t="shared" si="9"/>
        <v>rokprognozy=2025 i lp=390</v>
      </c>
      <c r="R48" s="36" t="str">
        <f t="shared" si="9"/>
        <v>rokprognozy=2026 i lp=390</v>
      </c>
      <c r="S48" s="36" t="str">
        <f t="shared" si="9"/>
        <v>rokprognozy=2027 i lp=390</v>
      </c>
      <c r="T48" s="36" t="str">
        <f t="shared" si="9"/>
        <v>rokprognozy=2028 i lp=390</v>
      </c>
      <c r="U48" s="36" t="str">
        <f t="shared" si="9"/>
        <v>rokprognozy=2029 i lp=390</v>
      </c>
      <c r="V48" s="36" t="str">
        <f t="shared" si="9"/>
        <v>rokprognozy=2030 i lp=390</v>
      </c>
      <c r="W48" s="36" t="str">
        <f t="shared" si="9"/>
        <v>rokprognozy=2031 i lp=390</v>
      </c>
      <c r="X48" s="36" t="str">
        <f t="shared" si="9"/>
        <v>rokprognozy=2032 i lp=390</v>
      </c>
      <c r="Y48" s="36" t="str">
        <f t="shared" si="9"/>
        <v>rokprognozy=2033 i lp=390</v>
      </c>
      <c r="Z48" s="36" t="str">
        <f t="shared" si="9"/>
        <v>rokprognozy=2034 i lp=390</v>
      </c>
      <c r="AA48" s="36" t="str">
        <f t="shared" si="9"/>
        <v>rokprognozy=2035 i lp=390</v>
      </c>
      <c r="AB48" s="36" t="str">
        <f t="shared" si="9"/>
        <v>rokprognozy=2036 i lp=390</v>
      </c>
      <c r="AC48" s="36" t="str">
        <f t="shared" si="9"/>
        <v>rokprognozy=2037 i lp=390</v>
      </c>
      <c r="AD48" s="36" t="str">
        <f t="shared" si="10"/>
        <v>rokprognozy=2038 i lp=390</v>
      </c>
      <c r="AE48" s="36" t="str">
        <f t="shared" si="10"/>
        <v>rokprognozy=2039 i lp=390</v>
      </c>
      <c r="AF48" s="36" t="str">
        <f t="shared" si="10"/>
        <v>rokprognozy=2040 i lp=390</v>
      </c>
      <c r="AG48" s="36" t="str">
        <f t="shared" si="10"/>
        <v>rokprognozy=2041 i lp=390</v>
      </c>
      <c r="AH48" s="36" t="str">
        <f t="shared" si="11"/>
        <v>rokprognozy=2042 i lp=390</v>
      </c>
    </row>
    <row r="49" spans="1:34" ht="11.25">
      <c r="A49" s="35">
        <v>400</v>
      </c>
      <c r="B49" s="35">
        <v>7</v>
      </c>
      <c r="C49" s="36" t="s">
        <v>92</v>
      </c>
      <c r="D49" s="36" t="str">
        <f t="shared" si="3"/>
        <v>rokprognozy=2013 i lp=400</v>
      </c>
      <c r="E49" s="36" t="str">
        <f t="shared" si="8"/>
        <v>rokprognozy=2013 i lp=400</v>
      </c>
      <c r="F49" s="36" t="str">
        <f t="shared" si="8"/>
        <v>rokprognozy=2014 i lp=400</v>
      </c>
      <c r="G49" s="36" t="str">
        <f t="shared" si="8"/>
        <v>rokprognozy=2015 i lp=400</v>
      </c>
      <c r="H49" s="36" t="str">
        <f t="shared" si="8"/>
        <v>rokprognozy=2016 i lp=400</v>
      </c>
      <c r="I49" s="36" t="str">
        <f t="shared" si="8"/>
        <v>rokprognozy=2017 i lp=400</v>
      </c>
      <c r="J49" s="36" t="str">
        <f t="shared" si="8"/>
        <v>rokprognozy=2018 i lp=400</v>
      </c>
      <c r="K49" s="36" t="str">
        <f t="shared" si="8"/>
        <v>rokprognozy=2019 i lp=400</v>
      </c>
      <c r="L49" s="36" t="str">
        <f t="shared" si="8"/>
        <v>rokprognozy=2020 i lp=400</v>
      </c>
      <c r="M49" s="36" t="str">
        <f t="shared" si="8"/>
        <v>rokprognozy=2021 i lp=400</v>
      </c>
      <c r="N49" s="36" t="str">
        <f t="shared" si="9"/>
        <v>rokprognozy=2022 i lp=400</v>
      </c>
      <c r="O49" s="36" t="str">
        <f t="shared" si="9"/>
        <v>rokprognozy=2023 i lp=400</v>
      </c>
      <c r="P49" s="36" t="str">
        <f t="shared" si="9"/>
        <v>rokprognozy=2024 i lp=400</v>
      </c>
      <c r="Q49" s="36" t="str">
        <f t="shared" si="9"/>
        <v>rokprognozy=2025 i lp=400</v>
      </c>
      <c r="R49" s="36" t="str">
        <f t="shared" si="9"/>
        <v>rokprognozy=2026 i lp=400</v>
      </c>
      <c r="S49" s="36" t="str">
        <f t="shared" si="9"/>
        <v>rokprognozy=2027 i lp=400</v>
      </c>
      <c r="T49" s="36" t="str">
        <f t="shared" si="9"/>
        <v>rokprognozy=2028 i lp=400</v>
      </c>
      <c r="U49" s="36" t="str">
        <f t="shared" si="9"/>
        <v>rokprognozy=2029 i lp=400</v>
      </c>
      <c r="V49" s="36" t="str">
        <f t="shared" si="9"/>
        <v>rokprognozy=2030 i lp=400</v>
      </c>
      <c r="W49" s="36" t="str">
        <f t="shared" si="9"/>
        <v>rokprognozy=2031 i lp=400</v>
      </c>
      <c r="X49" s="36" t="str">
        <f t="shared" si="9"/>
        <v>rokprognozy=2032 i lp=400</v>
      </c>
      <c r="Y49" s="36" t="str">
        <f t="shared" si="9"/>
        <v>rokprognozy=2033 i lp=400</v>
      </c>
      <c r="Z49" s="36" t="str">
        <f t="shared" si="9"/>
        <v>rokprognozy=2034 i lp=400</v>
      </c>
      <c r="AA49" s="36" t="str">
        <f t="shared" si="9"/>
        <v>rokprognozy=2035 i lp=400</v>
      </c>
      <c r="AB49" s="36" t="str">
        <f t="shared" si="9"/>
        <v>rokprognozy=2036 i lp=400</v>
      </c>
      <c r="AC49" s="36" t="str">
        <f t="shared" si="9"/>
        <v>rokprognozy=2037 i lp=400</v>
      </c>
      <c r="AD49" s="36" t="str">
        <f t="shared" si="10"/>
        <v>rokprognozy=2038 i lp=400</v>
      </c>
      <c r="AE49" s="36" t="str">
        <f t="shared" si="10"/>
        <v>rokprognozy=2039 i lp=400</v>
      </c>
      <c r="AF49" s="36" t="str">
        <f t="shared" si="10"/>
        <v>rokprognozy=2040 i lp=400</v>
      </c>
      <c r="AG49" s="36" t="str">
        <f t="shared" si="10"/>
        <v>rokprognozy=2041 i lp=400</v>
      </c>
      <c r="AH49" s="36" t="str">
        <f t="shared" si="11"/>
        <v>rokprognozy=2042 i lp=400</v>
      </c>
    </row>
    <row r="50" spans="1:34" ht="11.25">
      <c r="A50" s="35">
        <v>410</v>
      </c>
      <c r="D50" s="36" t="str">
        <f t="shared" si="3"/>
        <v>rokprognozy=2013 i lp=410</v>
      </c>
      <c r="E50" s="36" t="str">
        <f t="shared" si="8"/>
        <v>rokprognozy=2013 i lp=410</v>
      </c>
      <c r="F50" s="36" t="str">
        <f t="shared" si="8"/>
        <v>rokprognozy=2014 i lp=410</v>
      </c>
      <c r="G50" s="36" t="str">
        <f t="shared" si="8"/>
        <v>rokprognozy=2015 i lp=410</v>
      </c>
      <c r="H50" s="36" t="str">
        <f t="shared" si="8"/>
        <v>rokprognozy=2016 i lp=410</v>
      </c>
      <c r="I50" s="36" t="str">
        <f t="shared" si="8"/>
        <v>rokprognozy=2017 i lp=410</v>
      </c>
      <c r="J50" s="36" t="str">
        <f t="shared" si="8"/>
        <v>rokprognozy=2018 i lp=410</v>
      </c>
      <c r="K50" s="36" t="str">
        <f t="shared" si="8"/>
        <v>rokprognozy=2019 i lp=410</v>
      </c>
      <c r="L50" s="36" t="str">
        <f t="shared" si="8"/>
        <v>rokprognozy=2020 i lp=410</v>
      </c>
      <c r="M50" s="36" t="str">
        <f t="shared" si="8"/>
        <v>rokprognozy=2021 i lp=410</v>
      </c>
      <c r="N50" s="36" t="str">
        <f t="shared" si="9"/>
        <v>rokprognozy=2022 i lp=410</v>
      </c>
      <c r="O50" s="36" t="str">
        <f t="shared" si="9"/>
        <v>rokprognozy=2023 i lp=410</v>
      </c>
      <c r="P50" s="36" t="str">
        <f t="shared" si="9"/>
        <v>rokprognozy=2024 i lp=410</v>
      </c>
      <c r="Q50" s="36" t="str">
        <f t="shared" si="9"/>
        <v>rokprognozy=2025 i lp=410</v>
      </c>
      <c r="R50" s="36" t="str">
        <f t="shared" si="9"/>
        <v>rokprognozy=2026 i lp=410</v>
      </c>
      <c r="S50" s="36" t="str">
        <f t="shared" si="9"/>
        <v>rokprognozy=2027 i lp=410</v>
      </c>
      <c r="T50" s="36" t="str">
        <f t="shared" si="9"/>
        <v>rokprognozy=2028 i lp=410</v>
      </c>
      <c r="U50" s="36" t="str">
        <f t="shared" si="9"/>
        <v>rokprognozy=2029 i lp=410</v>
      </c>
      <c r="V50" s="36" t="str">
        <f t="shared" si="9"/>
        <v>rokprognozy=2030 i lp=410</v>
      </c>
      <c r="W50" s="36" t="str">
        <f t="shared" si="9"/>
        <v>rokprognozy=2031 i lp=410</v>
      </c>
      <c r="X50" s="36" t="str">
        <f t="shared" si="9"/>
        <v>rokprognozy=2032 i lp=410</v>
      </c>
      <c r="Y50" s="36" t="str">
        <f t="shared" si="9"/>
        <v>rokprognozy=2033 i lp=410</v>
      </c>
      <c r="Z50" s="36" t="str">
        <f t="shared" si="9"/>
        <v>rokprognozy=2034 i lp=410</v>
      </c>
      <c r="AA50" s="36" t="str">
        <f t="shared" si="9"/>
        <v>rokprognozy=2035 i lp=410</v>
      </c>
      <c r="AB50" s="36" t="str">
        <f t="shared" si="9"/>
        <v>rokprognozy=2036 i lp=410</v>
      </c>
      <c r="AC50" s="36" t="str">
        <f t="shared" si="9"/>
        <v>rokprognozy=2037 i lp=410</v>
      </c>
      <c r="AD50" s="36" t="str">
        <f t="shared" si="10"/>
        <v>rokprognozy=2038 i lp=410</v>
      </c>
      <c r="AE50" s="36" t="str">
        <f t="shared" si="10"/>
        <v>rokprognozy=2039 i lp=410</v>
      </c>
      <c r="AF50" s="36" t="str">
        <f t="shared" si="10"/>
        <v>rokprognozy=2040 i lp=410</v>
      </c>
      <c r="AG50" s="36" t="str">
        <f t="shared" si="10"/>
        <v>rokprognozy=2041 i lp=410</v>
      </c>
      <c r="AH50" s="36" t="str">
        <f t="shared" si="11"/>
        <v>rokprognozy=2042 i lp=410</v>
      </c>
    </row>
    <row r="51" spans="1:34" ht="11.25">
      <c r="A51" s="35">
        <v>420</v>
      </c>
      <c r="B51" s="35">
        <v>8.1</v>
      </c>
      <c r="C51" s="36" t="s">
        <v>93</v>
      </c>
      <c r="D51" s="36" t="str">
        <f t="shared" si="3"/>
        <v>rokprognozy=2013 i lp=420</v>
      </c>
      <c r="E51" s="36" t="str">
        <f t="shared" si="8"/>
        <v>rokprognozy=2013 i lp=420</v>
      </c>
      <c r="F51" s="36" t="str">
        <f t="shared" si="8"/>
        <v>rokprognozy=2014 i lp=420</v>
      </c>
      <c r="G51" s="36" t="str">
        <f t="shared" si="8"/>
        <v>rokprognozy=2015 i lp=420</v>
      </c>
      <c r="H51" s="36" t="str">
        <f t="shared" si="8"/>
        <v>rokprognozy=2016 i lp=420</v>
      </c>
      <c r="I51" s="36" t="str">
        <f t="shared" si="8"/>
        <v>rokprognozy=2017 i lp=420</v>
      </c>
      <c r="J51" s="36" t="str">
        <f t="shared" si="8"/>
        <v>rokprognozy=2018 i lp=420</v>
      </c>
      <c r="K51" s="36" t="str">
        <f t="shared" si="8"/>
        <v>rokprognozy=2019 i lp=420</v>
      </c>
      <c r="L51" s="36" t="str">
        <f t="shared" si="8"/>
        <v>rokprognozy=2020 i lp=420</v>
      </c>
      <c r="M51" s="36" t="str">
        <f t="shared" si="8"/>
        <v>rokprognozy=2021 i lp=420</v>
      </c>
      <c r="N51" s="36" t="str">
        <f t="shared" si="9"/>
        <v>rokprognozy=2022 i lp=420</v>
      </c>
      <c r="O51" s="36" t="str">
        <f t="shared" si="9"/>
        <v>rokprognozy=2023 i lp=420</v>
      </c>
      <c r="P51" s="36" t="str">
        <f t="shared" si="9"/>
        <v>rokprognozy=2024 i lp=420</v>
      </c>
      <c r="Q51" s="36" t="str">
        <f t="shared" si="9"/>
        <v>rokprognozy=2025 i lp=420</v>
      </c>
      <c r="R51" s="36" t="str">
        <f t="shared" si="9"/>
        <v>rokprognozy=2026 i lp=420</v>
      </c>
      <c r="S51" s="36" t="str">
        <f t="shared" si="9"/>
        <v>rokprognozy=2027 i lp=420</v>
      </c>
      <c r="T51" s="36" t="str">
        <f t="shared" si="9"/>
        <v>rokprognozy=2028 i lp=420</v>
      </c>
      <c r="U51" s="36" t="str">
        <f t="shared" si="9"/>
        <v>rokprognozy=2029 i lp=420</v>
      </c>
      <c r="V51" s="36" t="str">
        <f t="shared" si="9"/>
        <v>rokprognozy=2030 i lp=420</v>
      </c>
      <c r="W51" s="36" t="str">
        <f t="shared" si="9"/>
        <v>rokprognozy=2031 i lp=420</v>
      </c>
      <c r="X51" s="36" t="str">
        <f t="shared" si="9"/>
        <v>rokprognozy=2032 i lp=420</v>
      </c>
      <c r="Y51" s="36" t="str">
        <f t="shared" si="9"/>
        <v>rokprognozy=2033 i lp=420</v>
      </c>
      <c r="Z51" s="36" t="str">
        <f t="shared" si="9"/>
        <v>rokprognozy=2034 i lp=420</v>
      </c>
      <c r="AA51" s="36" t="str">
        <f t="shared" si="9"/>
        <v>rokprognozy=2035 i lp=420</v>
      </c>
      <c r="AB51" s="36" t="str">
        <f t="shared" si="9"/>
        <v>rokprognozy=2036 i lp=420</v>
      </c>
      <c r="AC51" s="36" t="str">
        <f t="shared" si="9"/>
        <v>rokprognozy=2037 i lp=420</v>
      </c>
      <c r="AD51" s="36" t="str">
        <f t="shared" si="10"/>
        <v>rokprognozy=2038 i lp=420</v>
      </c>
      <c r="AE51" s="36" t="str">
        <f t="shared" si="10"/>
        <v>rokprognozy=2039 i lp=420</v>
      </c>
      <c r="AF51" s="36" t="str">
        <f t="shared" si="10"/>
        <v>rokprognozy=2040 i lp=420</v>
      </c>
      <c r="AG51" s="36" t="str">
        <f t="shared" si="10"/>
        <v>rokprognozy=2041 i lp=420</v>
      </c>
      <c r="AH51" s="36" t="str">
        <f t="shared" si="11"/>
        <v>rokprognozy=2042 i lp=420</v>
      </c>
    </row>
    <row r="52" spans="1:34" ht="11.25">
      <c r="A52" s="35">
        <v>430</v>
      </c>
      <c r="B52" s="35">
        <v>8.2</v>
      </c>
      <c r="C52" s="36" t="s">
        <v>94</v>
      </c>
      <c r="D52" s="36" t="str">
        <f t="shared" si="3"/>
        <v>rokprognozy=2013 i lp=430</v>
      </c>
      <c r="E52" s="36" t="str">
        <f aca="true" t="shared" si="12" ref="E52:S68">+"rokprognozy="&amp;E$9&amp;" i lp="&amp;$A52</f>
        <v>rokprognozy=2013 i lp=430</v>
      </c>
      <c r="F52" s="36" t="str">
        <f t="shared" si="12"/>
        <v>rokprognozy=2014 i lp=430</v>
      </c>
      <c r="G52" s="36" t="str">
        <f t="shared" si="12"/>
        <v>rokprognozy=2015 i lp=430</v>
      </c>
      <c r="H52" s="36" t="str">
        <f t="shared" si="12"/>
        <v>rokprognozy=2016 i lp=430</v>
      </c>
      <c r="I52" s="36" t="str">
        <f t="shared" si="12"/>
        <v>rokprognozy=2017 i lp=430</v>
      </c>
      <c r="J52" s="36" t="str">
        <f t="shared" si="12"/>
        <v>rokprognozy=2018 i lp=430</v>
      </c>
      <c r="K52" s="36" t="str">
        <f t="shared" si="12"/>
        <v>rokprognozy=2019 i lp=430</v>
      </c>
      <c r="L52" s="36" t="str">
        <f t="shared" si="12"/>
        <v>rokprognozy=2020 i lp=430</v>
      </c>
      <c r="M52" s="36" t="str">
        <f t="shared" si="12"/>
        <v>rokprognozy=2021 i lp=430</v>
      </c>
      <c r="N52" s="36" t="str">
        <f t="shared" si="9"/>
        <v>rokprognozy=2022 i lp=430</v>
      </c>
      <c r="O52" s="36" t="str">
        <f t="shared" si="9"/>
        <v>rokprognozy=2023 i lp=430</v>
      </c>
      <c r="P52" s="36" t="str">
        <f t="shared" si="9"/>
        <v>rokprognozy=2024 i lp=430</v>
      </c>
      <c r="Q52" s="36" t="str">
        <f t="shared" si="9"/>
        <v>rokprognozy=2025 i lp=430</v>
      </c>
      <c r="R52" s="36" t="str">
        <f t="shared" si="9"/>
        <v>rokprognozy=2026 i lp=430</v>
      </c>
      <c r="S52" s="36" t="str">
        <f t="shared" si="9"/>
        <v>rokprognozy=2027 i lp=430</v>
      </c>
      <c r="T52" s="36" t="str">
        <f t="shared" si="9"/>
        <v>rokprognozy=2028 i lp=430</v>
      </c>
      <c r="U52" s="36" t="str">
        <f t="shared" si="9"/>
        <v>rokprognozy=2029 i lp=430</v>
      </c>
      <c r="V52" s="36" t="str">
        <f t="shared" si="9"/>
        <v>rokprognozy=2030 i lp=430</v>
      </c>
      <c r="W52" s="36" t="str">
        <f t="shared" si="9"/>
        <v>rokprognozy=2031 i lp=430</v>
      </c>
      <c r="X52" s="36" t="str">
        <f t="shared" si="9"/>
        <v>rokprognozy=2032 i lp=430</v>
      </c>
      <c r="Y52" s="36" t="str">
        <f t="shared" si="9"/>
        <v>rokprognozy=2033 i lp=430</v>
      </c>
      <c r="Z52" s="36" t="str">
        <f t="shared" si="9"/>
        <v>rokprognozy=2034 i lp=430</v>
      </c>
      <c r="AA52" s="36" t="str">
        <f t="shared" si="9"/>
        <v>rokprognozy=2035 i lp=430</v>
      </c>
      <c r="AB52" s="36" t="str">
        <f t="shared" si="9"/>
        <v>rokprognozy=2036 i lp=430</v>
      </c>
      <c r="AC52" s="36" t="str">
        <f t="shared" si="9"/>
        <v>rokprognozy=2037 i lp=430</v>
      </c>
      <c r="AD52" s="36" t="str">
        <f t="shared" si="10"/>
        <v>rokprognozy=2038 i lp=430</v>
      </c>
      <c r="AE52" s="36" t="str">
        <f t="shared" si="10"/>
        <v>rokprognozy=2039 i lp=430</v>
      </c>
      <c r="AF52" s="36" t="str">
        <f t="shared" si="10"/>
        <v>rokprognozy=2040 i lp=430</v>
      </c>
      <c r="AG52" s="36" t="str">
        <f t="shared" si="10"/>
        <v>rokprognozy=2041 i lp=430</v>
      </c>
      <c r="AH52" s="36" t="str">
        <f t="shared" si="11"/>
        <v>rokprognozy=2042 i lp=430</v>
      </c>
    </row>
    <row r="53" spans="1:34" ht="11.25">
      <c r="A53" s="35">
        <v>440</v>
      </c>
      <c r="D53" s="36" t="str">
        <f t="shared" si="3"/>
        <v>rokprognozy=2013 i lp=440</v>
      </c>
      <c r="E53" s="36" t="str">
        <f t="shared" si="12"/>
        <v>rokprognozy=2013 i lp=440</v>
      </c>
      <c r="F53" s="36" t="str">
        <f t="shared" si="12"/>
        <v>rokprognozy=2014 i lp=440</v>
      </c>
      <c r="G53" s="36" t="str">
        <f t="shared" si="12"/>
        <v>rokprognozy=2015 i lp=440</v>
      </c>
      <c r="H53" s="36" t="str">
        <f t="shared" si="12"/>
        <v>rokprognozy=2016 i lp=440</v>
      </c>
      <c r="I53" s="36" t="str">
        <f t="shared" si="12"/>
        <v>rokprognozy=2017 i lp=440</v>
      </c>
      <c r="J53" s="36" t="str">
        <f t="shared" si="12"/>
        <v>rokprognozy=2018 i lp=440</v>
      </c>
      <c r="K53" s="36" t="str">
        <f t="shared" si="12"/>
        <v>rokprognozy=2019 i lp=440</v>
      </c>
      <c r="L53" s="36" t="str">
        <f t="shared" si="12"/>
        <v>rokprognozy=2020 i lp=440</v>
      </c>
      <c r="M53" s="36" t="str">
        <f t="shared" si="12"/>
        <v>rokprognozy=2021 i lp=440</v>
      </c>
      <c r="N53" s="36" t="str">
        <f t="shared" si="9"/>
        <v>rokprognozy=2022 i lp=440</v>
      </c>
      <c r="O53" s="36" t="str">
        <f t="shared" si="9"/>
        <v>rokprognozy=2023 i lp=440</v>
      </c>
      <c r="P53" s="36" t="str">
        <f t="shared" si="9"/>
        <v>rokprognozy=2024 i lp=440</v>
      </c>
      <c r="Q53" s="36" t="str">
        <f t="shared" si="9"/>
        <v>rokprognozy=2025 i lp=440</v>
      </c>
      <c r="R53" s="36" t="str">
        <f t="shared" si="9"/>
        <v>rokprognozy=2026 i lp=440</v>
      </c>
      <c r="S53" s="36" t="str">
        <f t="shared" si="9"/>
        <v>rokprognozy=2027 i lp=440</v>
      </c>
      <c r="T53" s="36" t="str">
        <f t="shared" si="9"/>
        <v>rokprognozy=2028 i lp=440</v>
      </c>
      <c r="U53" s="36" t="str">
        <f t="shared" si="9"/>
        <v>rokprognozy=2029 i lp=440</v>
      </c>
      <c r="V53" s="36" t="str">
        <f t="shared" si="9"/>
        <v>rokprognozy=2030 i lp=440</v>
      </c>
      <c r="W53" s="36" t="str">
        <f t="shared" si="9"/>
        <v>rokprognozy=2031 i lp=440</v>
      </c>
      <c r="X53" s="36" t="str">
        <f t="shared" si="9"/>
        <v>rokprognozy=2032 i lp=440</v>
      </c>
      <c r="Y53" s="36" t="str">
        <f t="shared" si="9"/>
        <v>rokprognozy=2033 i lp=440</v>
      </c>
      <c r="Z53" s="36" t="str">
        <f t="shared" si="9"/>
        <v>rokprognozy=2034 i lp=440</v>
      </c>
      <c r="AA53" s="36" t="str">
        <f t="shared" si="9"/>
        <v>rokprognozy=2035 i lp=440</v>
      </c>
      <c r="AB53" s="36" t="str">
        <f t="shared" si="9"/>
        <v>rokprognozy=2036 i lp=440</v>
      </c>
      <c r="AC53" s="36" t="str">
        <f t="shared" si="9"/>
        <v>rokprognozy=2037 i lp=440</v>
      </c>
      <c r="AD53" s="36" t="str">
        <f t="shared" si="10"/>
        <v>rokprognozy=2038 i lp=440</v>
      </c>
      <c r="AE53" s="36" t="str">
        <f t="shared" si="10"/>
        <v>rokprognozy=2039 i lp=440</v>
      </c>
      <c r="AF53" s="36" t="str">
        <f t="shared" si="10"/>
        <v>rokprognozy=2040 i lp=440</v>
      </c>
      <c r="AG53" s="36" t="str">
        <f t="shared" si="10"/>
        <v>rokprognozy=2041 i lp=440</v>
      </c>
      <c r="AH53" s="36" t="str">
        <f t="shared" si="11"/>
        <v>rokprognozy=2042 i lp=440</v>
      </c>
    </row>
    <row r="54" spans="1:34" ht="11.25">
      <c r="A54" s="35">
        <v>450</v>
      </c>
      <c r="B54" s="35">
        <v>9.1</v>
      </c>
      <c r="C54" s="36" t="s">
        <v>95</v>
      </c>
      <c r="D54" s="36" t="str">
        <f t="shared" si="3"/>
        <v>rokprognozy=2013 i lp=450</v>
      </c>
      <c r="E54" s="36" t="str">
        <f t="shared" si="12"/>
        <v>rokprognozy=2013 i lp=450</v>
      </c>
      <c r="F54" s="36" t="str">
        <f t="shared" si="12"/>
        <v>rokprognozy=2014 i lp=450</v>
      </c>
      <c r="G54" s="36" t="str">
        <f t="shared" si="12"/>
        <v>rokprognozy=2015 i lp=450</v>
      </c>
      <c r="H54" s="36" t="str">
        <f t="shared" si="12"/>
        <v>rokprognozy=2016 i lp=450</v>
      </c>
      <c r="I54" s="36" t="str">
        <f t="shared" si="12"/>
        <v>rokprognozy=2017 i lp=450</v>
      </c>
      <c r="J54" s="36" t="str">
        <f t="shared" si="12"/>
        <v>rokprognozy=2018 i lp=450</v>
      </c>
      <c r="K54" s="36" t="str">
        <f t="shared" si="12"/>
        <v>rokprognozy=2019 i lp=450</v>
      </c>
      <c r="L54" s="36" t="str">
        <f t="shared" si="12"/>
        <v>rokprognozy=2020 i lp=450</v>
      </c>
      <c r="M54" s="36" t="str">
        <f t="shared" si="12"/>
        <v>rokprognozy=2021 i lp=450</v>
      </c>
      <c r="N54" s="36" t="str">
        <f t="shared" si="9"/>
        <v>rokprognozy=2022 i lp=450</v>
      </c>
      <c r="O54" s="36" t="str">
        <f t="shared" si="9"/>
        <v>rokprognozy=2023 i lp=450</v>
      </c>
      <c r="P54" s="36" t="str">
        <f t="shared" si="9"/>
        <v>rokprognozy=2024 i lp=450</v>
      </c>
      <c r="Q54" s="36" t="str">
        <f t="shared" si="9"/>
        <v>rokprognozy=2025 i lp=450</v>
      </c>
      <c r="R54" s="36" t="str">
        <f t="shared" si="9"/>
        <v>rokprognozy=2026 i lp=450</v>
      </c>
      <c r="S54" s="36" t="str">
        <f t="shared" si="9"/>
        <v>rokprognozy=2027 i lp=450</v>
      </c>
      <c r="T54" s="36" t="str">
        <f t="shared" si="9"/>
        <v>rokprognozy=2028 i lp=450</v>
      </c>
      <c r="U54" s="36" t="str">
        <f t="shared" si="9"/>
        <v>rokprognozy=2029 i lp=450</v>
      </c>
      <c r="V54" s="36" t="str">
        <f t="shared" si="9"/>
        <v>rokprognozy=2030 i lp=450</v>
      </c>
      <c r="W54" s="36" t="str">
        <f t="shared" si="9"/>
        <v>rokprognozy=2031 i lp=450</v>
      </c>
      <c r="X54" s="36" t="str">
        <f t="shared" si="9"/>
        <v>rokprognozy=2032 i lp=450</v>
      </c>
      <c r="Y54" s="36" t="str">
        <f t="shared" si="9"/>
        <v>rokprognozy=2033 i lp=450</v>
      </c>
      <c r="Z54" s="36" t="str">
        <f t="shared" si="9"/>
        <v>rokprognozy=2034 i lp=450</v>
      </c>
      <c r="AA54" s="36" t="str">
        <f t="shared" si="9"/>
        <v>rokprognozy=2035 i lp=450</v>
      </c>
      <c r="AB54" s="36" t="str">
        <f t="shared" si="9"/>
        <v>rokprognozy=2036 i lp=450</v>
      </c>
      <c r="AC54" s="36" t="str">
        <f t="shared" si="9"/>
        <v>rokprognozy=2037 i lp=450</v>
      </c>
      <c r="AD54" s="36" t="str">
        <f t="shared" si="10"/>
        <v>rokprognozy=2038 i lp=450</v>
      </c>
      <c r="AE54" s="36" t="str">
        <f t="shared" si="10"/>
        <v>rokprognozy=2039 i lp=450</v>
      </c>
      <c r="AF54" s="36" t="str">
        <f t="shared" si="10"/>
        <v>rokprognozy=2040 i lp=450</v>
      </c>
      <c r="AG54" s="36" t="str">
        <f t="shared" si="10"/>
        <v>rokprognozy=2041 i lp=450</v>
      </c>
      <c r="AH54" s="36" t="str">
        <f t="shared" si="11"/>
        <v>rokprognozy=2042 i lp=450</v>
      </c>
    </row>
    <row r="55" spans="1:34" ht="11.25">
      <c r="A55" s="35">
        <v>460</v>
      </c>
      <c r="B55" s="35">
        <v>9.2</v>
      </c>
      <c r="C55" s="36" t="s">
        <v>96</v>
      </c>
      <c r="D55" s="36" t="str">
        <f t="shared" si="3"/>
        <v>rokprognozy=2013 i lp=460</v>
      </c>
      <c r="E55" s="36" t="str">
        <f t="shared" si="12"/>
        <v>rokprognozy=2013 i lp=460</v>
      </c>
      <c r="F55" s="36" t="str">
        <f t="shared" si="12"/>
        <v>rokprognozy=2014 i lp=460</v>
      </c>
      <c r="G55" s="36" t="str">
        <f t="shared" si="12"/>
        <v>rokprognozy=2015 i lp=460</v>
      </c>
      <c r="H55" s="36" t="str">
        <f t="shared" si="12"/>
        <v>rokprognozy=2016 i lp=460</v>
      </c>
      <c r="I55" s="36" t="str">
        <f t="shared" si="12"/>
        <v>rokprognozy=2017 i lp=460</v>
      </c>
      <c r="J55" s="36" t="str">
        <f t="shared" si="12"/>
        <v>rokprognozy=2018 i lp=460</v>
      </c>
      <c r="K55" s="36" t="str">
        <f t="shared" si="12"/>
        <v>rokprognozy=2019 i lp=460</v>
      </c>
      <c r="L55" s="36" t="str">
        <f t="shared" si="12"/>
        <v>rokprognozy=2020 i lp=460</v>
      </c>
      <c r="M55" s="36" t="str">
        <f t="shared" si="12"/>
        <v>rokprognozy=2021 i lp=460</v>
      </c>
      <c r="N55" s="36" t="str">
        <f t="shared" si="9"/>
        <v>rokprognozy=2022 i lp=460</v>
      </c>
      <c r="O55" s="36" t="str">
        <f t="shared" si="9"/>
        <v>rokprognozy=2023 i lp=460</v>
      </c>
      <c r="P55" s="36" t="str">
        <f t="shared" si="9"/>
        <v>rokprognozy=2024 i lp=460</v>
      </c>
      <c r="Q55" s="36" t="str">
        <f t="shared" si="9"/>
        <v>rokprognozy=2025 i lp=460</v>
      </c>
      <c r="R55" s="36" t="str">
        <f t="shared" si="9"/>
        <v>rokprognozy=2026 i lp=460</v>
      </c>
      <c r="S55" s="36" t="str">
        <f t="shared" si="9"/>
        <v>rokprognozy=2027 i lp=460</v>
      </c>
      <c r="T55" s="36" t="str">
        <f aca="true" t="shared" si="13" ref="N55:AC71">+"rokprognozy="&amp;T$9&amp;" i lp="&amp;$A55</f>
        <v>rokprognozy=2028 i lp=460</v>
      </c>
      <c r="U55" s="36" t="str">
        <f t="shared" si="13"/>
        <v>rokprognozy=2029 i lp=460</v>
      </c>
      <c r="V55" s="36" t="str">
        <f t="shared" si="13"/>
        <v>rokprognozy=2030 i lp=460</v>
      </c>
      <c r="W55" s="36" t="str">
        <f t="shared" si="13"/>
        <v>rokprognozy=2031 i lp=460</v>
      </c>
      <c r="X55" s="36" t="str">
        <f t="shared" si="13"/>
        <v>rokprognozy=2032 i lp=460</v>
      </c>
      <c r="Y55" s="36" t="str">
        <f t="shared" si="13"/>
        <v>rokprognozy=2033 i lp=460</v>
      </c>
      <c r="Z55" s="36" t="str">
        <f t="shared" si="13"/>
        <v>rokprognozy=2034 i lp=460</v>
      </c>
      <c r="AA55" s="36" t="str">
        <f t="shared" si="13"/>
        <v>rokprognozy=2035 i lp=460</v>
      </c>
      <c r="AB55" s="36" t="str">
        <f t="shared" si="13"/>
        <v>rokprognozy=2036 i lp=460</v>
      </c>
      <c r="AC55" s="36" t="str">
        <f t="shared" si="13"/>
        <v>rokprognozy=2037 i lp=460</v>
      </c>
      <c r="AD55" s="36" t="str">
        <f t="shared" si="10"/>
        <v>rokprognozy=2038 i lp=460</v>
      </c>
      <c r="AE55" s="36" t="str">
        <f t="shared" si="10"/>
        <v>rokprognozy=2039 i lp=460</v>
      </c>
      <c r="AF55" s="36" t="str">
        <f t="shared" si="10"/>
        <v>rokprognozy=2040 i lp=460</v>
      </c>
      <c r="AG55" s="36" t="str">
        <f t="shared" si="10"/>
        <v>rokprognozy=2041 i lp=460</v>
      </c>
      <c r="AH55" s="36" t="str">
        <f t="shared" si="11"/>
        <v>rokprognozy=2042 i lp=460</v>
      </c>
    </row>
    <row r="56" spans="1:34" ht="11.25">
      <c r="A56" s="35">
        <v>470</v>
      </c>
      <c r="B56" s="35">
        <v>9.3</v>
      </c>
      <c r="C56" s="36" t="s">
        <v>234</v>
      </c>
      <c r="D56" s="36" t="str">
        <f t="shared" si="3"/>
        <v>rokprognozy=2013 i lp=470</v>
      </c>
      <c r="E56" s="36" t="str">
        <f t="shared" si="12"/>
        <v>rokprognozy=2013 i lp=470</v>
      </c>
      <c r="F56" s="36" t="str">
        <f t="shared" si="12"/>
        <v>rokprognozy=2014 i lp=470</v>
      </c>
      <c r="G56" s="36" t="str">
        <f t="shared" si="12"/>
        <v>rokprognozy=2015 i lp=470</v>
      </c>
      <c r="H56" s="36" t="str">
        <f t="shared" si="12"/>
        <v>rokprognozy=2016 i lp=470</v>
      </c>
      <c r="I56" s="36" t="str">
        <f t="shared" si="12"/>
        <v>rokprognozy=2017 i lp=470</v>
      </c>
      <c r="J56" s="36" t="str">
        <f t="shared" si="12"/>
        <v>rokprognozy=2018 i lp=470</v>
      </c>
      <c r="K56" s="36" t="str">
        <f t="shared" si="12"/>
        <v>rokprognozy=2019 i lp=470</v>
      </c>
      <c r="L56" s="36" t="str">
        <f t="shared" si="12"/>
        <v>rokprognozy=2020 i lp=470</v>
      </c>
      <c r="M56" s="36" t="str">
        <f t="shared" si="12"/>
        <v>rokprognozy=2021 i lp=470</v>
      </c>
      <c r="N56" s="36" t="str">
        <f t="shared" si="12"/>
        <v>rokprognozy=2022 i lp=470</v>
      </c>
      <c r="O56" s="36" t="str">
        <f t="shared" si="12"/>
        <v>rokprognozy=2023 i lp=470</v>
      </c>
      <c r="P56" s="36" t="str">
        <f t="shared" si="12"/>
        <v>rokprognozy=2024 i lp=470</v>
      </c>
      <c r="Q56" s="36" t="str">
        <f t="shared" si="12"/>
        <v>rokprognozy=2025 i lp=470</v>
      </c>
      <c r="R56" s="36" t="str">
        <f t="shared" si="12"/>
        <v>rokprognozy=2026 i lp=470</v>
      </c>
      <c r="S56" s="36" t="str">
        <f t="shared" si="12"/>
        <v>rokprognozy=2027 i lp=470</v>
      </c>
      <c r="T56" s="36" t="str">
        <f t="shared" si="13"/>
        <v>rokprognozy=2028 i lp=470</v>
      </c>
      <c r="U56" s="36" t="str">
        <f t="shared" si="13"/>
        <v>rokprognozy=2029 i lp=470</v>
      </c>
      <c r="V56" s="36" t="str">
        <f t="shared" si="13"/>
        <v>rokprognozy=2030 i lp=470</v>
      </c>
      <c r="W56" s="36" t="str">
        <f t="shared" si="13"/>
        <v>rokprognozy=2031 i lp=470</v>
      </c>
      <c r="X56" s="36" t="str">
        <f t="shared" si="13"/>
        <v>rokprognozy=2032 i lp=470</v>
      </c>
      <c r="Y56" s="36" t="str">
        <f>+"rokprognozy="&amp;Y$9&amp;" i lp="&amp;$A56</f>
        <v>rokprognozy=2033 i lp=470</v>
      </c>
      <c r="Z56" s="36" t="str">
        <f>+"rokprognozy="&amp;Z$9&amp;" i lp="&amp;$A56</f>
        <v>rokprognozy=2034 i lp=470</v>
      </c>
      <c r="AA56" s="36" t="str">
        <f>+"rokprognozy="&amp;AA$9&amp;" i lp="&amp;$A56</f>
        <v>rokprognozy=2035 i lp=470</v>
      </c>
      <c r="AB56" s="36" t="str">
        <f>+"rokprognozy="&amp;AB$9&amp;" i lp="&amp;$A56</f>
        <v>rokprognozy=2036 i lp=470</v>
      </c>
      <c r="AC56" s="36" t="str">
        <f>+"rokprognozy="&amp;AC$9&amp;" i lp="&amp;$A56</f>
        <v>rokprognozy=2037 i lp=470</v>
      </c>
      <c r="AD56" s="36" t="str">
        <f t="shared" si="10"/>
        <v>rokprognozy=2038 i lp=470</v>
      </c>
      <c r="AE56" s="36" t="str">
        <f t="shared" si="10"/>
        <v>rokprognozy=2039 i lp=470</v>
      </c>
      <c r="AF56" s="36" t="str">
        <f t="shared" si="10"/>
        <v>rokprognozy=2040 i lp=470</v>
      </c>
      <c r="AG56" s="36" t="str">
        <f t="shared" si="10"/>
        <v>rokprognozy=2041 i lp=470</v>
      </c>
      <c r="AH56" s="36" t="str">
        <f t="shared" si="11"/>
        <v>rokprognozy=2042 i lp=470</v>
      </c>
    </row>
    <row r="57" spans="1:34" ht="11.25">
      <c r="A57" s="35">
        <v>480</v>
      </c>
      <c r="B57" s="35">
        <v>9.4</v>
      </c>
      <c r="C57" s="36" t="s">
        <v>97</v>
      </c>
      <c r="D57" s="36" t="str">
        <f t="shared" si="3"/>
        <v>rokprognozy=2013 i lp=480</v>
      </c>
      <c r="E57" s="36" t="str">
        <f t="shared" si="12"/>
        <v>rokprognozy=2013 i lp=480</v>
      </c>
      <c r="F57" s="36" t="str">
        <f t="shared" si="12"/>
        <v>rokprognozy=2014 i lp=480</v>
      </c>
      <c r="G57" s="36" t="str">
        <f t="shared" si="12"/>
        <v>rokprognozy=2015 i lp=480</v>
      </c>
      <c r="H57" s="36" t="str">
        <f t="shared" si="12"/>
        <v>rokprognozy=2016 i lp=480</v>
      </c>
      <c r="I57" s="36" t="str">
        <f t="shared" si="12"/>
        <v>rokprognozy=2017 i lp=480</v>
      </c>
      <c r="J57" s="36" t="str">
        <f t="shared" si="12"/>
        <v>rokprognozy=2018 i lp=480</v>
      </c>
      <c r="K57" s="36" t="str">
        <f t="shared" si="12"/>
        <v>rokprognozy=2019 i lp=480</v>
      </c>
      <c r="L57" s="36" t="str">
        <f t="shared" si="12"/>
        <v>rokprognozy=2020 i lp=480</v>
      </c>
      <c r="M57" s="36" t="str">
        <f t="shared" si="12"/>
        <v>rokprognozy=2021 i lp=480</v>
      </c>
      <c r="N57" s="36" t="str">
        <f t="shared" si="13"/>
        <v>rokprognozy=2022 i lp=480</v>
      </c>
      <c r="O57" s="36" t="str">
        <f t="shared" si="13"/>
        <v>rokprognozy=2023 i lp=480</v>
      </c>
      <c r="P57" s="36" t="str">
        <f t="shared" si="13"/>
        <v>rokprognozy=2024 i lp=480</v>
      </c>
      <c r="Q57" s="36" t="str">
        <f t="shared" si="13"/>
        <v>rokprognozy=2025 i lp=480</v>
      </c>
      <c r="R57" s="36" t="str">
        <f t="shared" si="13"/>
        <v>rokprognozy=2026 i lp=480</v>
      </c>
      <c r="S57" s="36" t="str">
        <f t="shared" si="13"/>
        <v>rokprognozy=2027 i lp=480</v>
      </c>
      <c r="T57" s="36" t="str">
        <f t="shared" si="13"/>
        <v>rokprognozy=2028 i lp=480</v>
      </c>
      <c r="U57" s="36" t="str">
        <f t="shared" si="13"/>
        <v>rokprognozy=2029 i lp=480</v>
      </c>
      <c r="V57" s="36" t="str">
        <f t="shared" si="13"/>
        <v>rokprognozy=2030 i lp=480</v>
      </c>
      <c r="W57" s="36" t="str">
        <f t="shared" si="13"/>
        <v>rokprognozy=2031 i lp=480</v>
      </c>
      <c r="X57" s="36" t="str">
        <f t="shared" si="13"/>
        <v>rokprognozy=2032 i lp=480</v>
      </c>
      <c r="Y57" s="36" t="str">
        <f t="shared" si="13"/>
        <v>rokprognozy=2033 i lp=480</v>
      </c>
      <c r="Z57" s="36" t="str">
        <f t="shared" si="13"/>
        <v>rokprognozy=2034 i lp=480</v>
      </c>
      <c r="AA57" s="36" t="str">
        <f t="shared" si="13"/>
        <v>rokprognozy=2035 i lp=480</v>
      </c>
      <c r="AB57" s="36" t="str">
        <f t="shared" si="13"/>
        <v>rokprognozy=2036 i lp=480</v>
      </c>
      <c r="AC57" s="36" t="str">
        <f t="shared" si="13"/>
        <v>rokprognozy=2037 i lp=480</v>
      </c>
      <c r="AD57" s="36" t="str">
        <f t="shared" si="10"/>
        <v>rokprognozy=2038 i lp=480</v>
      </c>
      <c r="AE57" s="36" t="str">
        <f t="shared" si="10"/>
        <v>rokprognozy=2039 i lp=480</v>
      </c>
      <c r="AF57" s="36" t="str">
        <f t="shared" si="10"/>
        <v>rokprognozy=2040 i lp=480</v>
      </c>
      <c r="AG57" s="36" t="str">
        <f t="shared" si="10"/>
        <v>rokprognozy=2041 i lp=480</v>
      </c>
      <c r="AH57" s="36" t="str">
        <f t="shared" si="11"/>
        <v>rokprognozy=2042 i lp=480</v>
      </c>
    </row>
    <row r="58" spans="1:34" ht="11.25">
      <c r="A58" s="35">
        <v>490</v>
      </c>
      <c r="B58" s="35">
        <v>9.5</v>
      </c>
      <c r="C58" s="36" t="s">
        <v>98</v>
      </c>
      <c r="D58" s="36" t="str">
        <f t="shared" si="3"/>
        <v>rokprognozy=2013 i lp=490</v>
      </c>
      <c r="E58" s="36" t="str">
        <f t="shared" si="12"/>
        <v>rokprognozy=2013 i lp=490</v>
      </c>
      <c r="F58" s="36" t="str">
        <f t="shared" si="12"/>
        <v>rokprognozy=2014 i lp=490</v>
      </c>
      <c r="G58" s="36" t="str">
        <f t="shared" si="12"/>
        <v>rokprognozy=2015 i lp=490</v>
      </c>
      <c r="H58" s="36" t="str">
        <f t="shared" si="12"/>
        <v>rokprognozy=2016 i lp=490</v>
      </c>
      <c r="I58" s="36" t="str">
        <f t="shared" si="12"/>
        <v>rokprognozy=2017 i lp=490</v>
      </c>
      <c r="J58" s="36" t="str">
        <f t="shared" si="12"/>
        <v>rokprognozy=2018 i lp=490</v>
      </c>
      <c r="K58" s="36" t="str">
        <f t="shared" si="12"/>
        <v>rokprognozy=2019 i lp=490</v>
      </c>
      <c r="L58" s="36" t="str">
        <f t="shared" si="12"/>
        <v>rokprognozy=2020 i lp=490</v>
      </c>
      <c r="M58" s="36" t="str">
        <f t="shared" si="12"/>
        <v>rokprognozy=2021 i lp=490</v>
      </c>
      <c r="N58" s="36" t="str">
        <f t="shared" si="13"/>
        <v>rokprognozy=2022 i lp=490</v>
      </c>
      <c r="O58" s="36" t="str">
        <f t="shared" si="13"/>
        <v>rokprognozy=2023 i lp=490</v>
      </c>
      <c r="P58" s="36" t="str">
        <f t="shared" si="13"/>
        <v>rokprognozy=2024 i lp=490</v>
      </c>
      <c r="Q58" s="36" t="str">
        <f t="shared" si="13"/>
        <v>rokprognozy=2025 i lp=490</v>
      </c>
      <c r="R58" s="36" t="str">
        <f t="shared" si="13"/>
        <v>rokprognozy=2026 i lp=490</v>
      </c>
      <c r="S58" s="36" t="str">
        <f t="shared" si="13"/>
        <v>rokprognozy=2027 i lp=490</v>
      </c>
      <c r="T58" s="36" t="str">
        <f t="shared" si="13"/>
        <v>rokprognozy=2028 i lp=490</v>
      </c>
      <c r="U58" s="36" t="str">
        <f t="shared" si="13"/>
        <v>rokprognozy=2029 i lp=490</v>
      </c>
      <c r="V58" s="36" t="str">
        <f t="shared" si="13"/>
        <v>rokprognozy=2030 i lp=490</v>
      </c>
      <c r="W58" s="36" t="str">
        <f t="shared" si="13"/>
        <v>rokprognozy=2031 i lp=490</v>
      </c>
      <c r="X58" s="36" t="str">
        <f t="shared" si="13"/>
        <v>rokprognozy=2032 i lp=490</v>
      </c>
      <c r="Y58" s="36" t="str">
        <f t="shared" si="13"/>
        <v>rokprognozy=2033 i lp=490</v>
      </c>
      <c r="Z58" s="36" t="str">
        <f t="shared" si="13"/>
        <v>rokprognozy=2034 i lp=490</v>
      </c>
      <c r="AA58" s="36" t="str">
        <f t="shared" si="13"/>
        <v>rokprognozy=2035 i lp=490</v>
      </c>
      <c r="AB58" s="36" t="str">
        <f t="shared" si="13"/>
        <v>rokprognozy=2036 i lp=490</v>
      </c>
      <c r="AC58" s="36" t="str">
        <f t="shared" si="13"/>
        <v>rokprognozy=2037 i lp=490</v>
      </c>
      <c r="AD58" s="36" t="str">
        <f t="shared" si="10"/>
        <v>rokprognozy=2038 i lp=490</v>
      </c>
      <c r="AE58" s="36" t="str">
        <f t="shared" si="10"/>
        <v>rokprognozy=2039 i lp=490</v>
      </c>
      <c r="AF58" s="36" t="str">
        <f t="shared" si="10"/>
        <v>rokprognozy=2040 i lp=490</v>
      </c>
      <c r="AG58" s="36" t="str">
        <f t="shared" si="10"/>
        <v>rokprognozy=2041 i lp=490</v>
      </c>
      <c r="AH58" s="36" t="str">
        <f t="shared" si="11"/>
        <v>rokprognozy=2042 i lp=490</v>
      </c>
    </row>
    <row r="59" spans="1:34" ht="11.25">
      <c r="A59" s="35">
        <v>500</v>
      </c>
      <c r="B59" s="35">
        <v>9.6</v>
      </c>
      <c r="C59" s="36" t="s">
        <v>99</v>
      </c>
      <c r="D59" s="36" t="str">
        <f t="shared" si="3"/>
        <v>rokprognozy=2013 i lp=500</v>
      </c>
      <c r="E59" s="36" t="str">
        <f t="shared" si="12"/>
        <v>rokprognozy=2013 i lp=500</v>
      </c>
      <c r="F59" s="36" t="str">
        <f t="shared" si="12"/>
        <v>rokprognozy=2014 i lp=500</v>
      </c>
      <c r="G59" s="36" t="str">
        <f t="shared" si="12"/>
        <v>rokprognozy=2015 i lp=500</v>
      </c>
      <c r="H59" s="36" t="str">
        <f t="shared" si="12"/>
        <v>rokprognozy=2016 i lp=500</v>
      </c>
      <c r="I59" s="36" t="str">
        <f t="shared" si="12"/>
        <v>rokprognozy=2017 i lp=500</v>
      </c>
      <c r="J59" s="36" t="str">
        <f t="shared" si="12"/>
        <v>rokprognozy=2018 i lp=500</v>
      </c>
      <c r="K59" s="36" t="str">
        <f t="shared" si="12"/>
        <v>rokprognozy=2019 i lp=500</v>
      </c>
      <c r="L59" s="36" t="str">
        <f t="shared" si="12"/>
        <v>rokprognozy=2020 i lp=500</v>
      </c>
      <c r="M59" s="36" t="str">
        <f t="shared" si="12"/>
        <v>rokprognozy=2021 i lp=500</v>
      </c>
      <c r="N59" s="36" t="str">
        <f t="shared" si="13"/>
        <v>rokprognozy=2022 i lp=500</v>
      </c>
      <c r="O59" s="36" t="str">
        <f t="shared" si="13"/>
        <v>rokprognozy=2023 i lp=500</v>
      </c>
      <c r="P59" s="36" t="str">
        <f t="shared" si="13"/>
        <v>rokprognozy=2024 i lp=500</v>
      </c>
      <c r="Q59" s="36" t="str">
        <f t="shared" si="13"/>
        <v>rokprognozy=2025 i lp=500</v>
      </c>
      <c r="R59" s="36" t="str">
        <f t="shared" si="13"/>
        <v>rokprognozy=2026 i lp=500</v>
      </c>
      <c r="S59" s="36" t="str">
        <f t="shared" si="13"/>
        <v>rokprognozy=2027 i lp=500</v>
      </c>
      <c r="T59" s="36" t="str">
        <f t="shared" si="13"/>
        <v>rokprognozy=2028 i lp=500</v>
      </c>
      <c r="U59" s="36" t="str">
        <f t="shared" si="13"/>
        <v>rokprognozy=2029 i lp=500</v>
      </c>
      <c r="V59" s="36" t="str">
        <f t="shared" si="13"/>
        <v>rokprognozy=2030 i lp=500</v>
      </c>
      <c r="W59" s="36" t="str">
        <f t="shared" si="13"/>
        <v>rokprognozy=2031 i lp=500</v>
      </c>
      <c r="X59" s="36" t="str">
        <f t="shared" si="13"/>
        <v>rokprognozy=2032 i lp=500</v>
      </c>
      <c r="Y59" s="36" t="str">
        <f t="shared" si="13"/>
        <v>rokprognozy=2033 i lp=500</v>
      </c>
      <c r="Z59" s="36" t="str">
        <f t="shared" si="13"/>
        <v>rokprognozy=2034 i lp=500</v>
      </c>
      <c r="AA59" s="36" t="str">
        <f t="shared" si="13"/>
        <v>rokprognozy=2035 i lp=500</v>
      </c>
      <c r="AB59" s="36" t="str">
        <f t="shared" si="13"/>
        <v>rokprognozy=2036 i lp=500</v>
      </c>
      <c r="AC59" s="36" t="str">
        <f t="shared" si="13"/>
        <v>rokprognozy=2037 i lp=500</v>
      </c>
      <c r="AD59" s="36" t="str">
        <f t="shared" si="10"/>
        <v>rokprognozy=2038 i lp=500</v>
      </c>
      <c r="AE59" s="36" t="str">
        <f t="shared" si="10"/>
        <v>rokprognozy=2039 i lp=500</v>
      </c>
      <c r="AF59" s="36" t="str">
        <f t="shared" si="10"/>
        <v>rokprognozy=2040 i lp=500</v>
      </c>
      <c r="AG59" s="36" t="str">
        <f t="shared" si="10"/>
        <v>rokprognozy=2041 i lp=500</v>
      </c>
      <c r="AH59" s="36" t="str">
        <f t="shared" si="11"/>
        <v>rokprognozy=2042 i lp=500</v>
      </c>
    </row>
    <row r="60" spans="1:34" ht="11.25">
      <c r="A60" s="35">
        <v>505</v>
      </c>
      <c r="B60" s="35" t="s">
        <v>100</v>
      </c>
      <c r="C60" s="36" t="s">
        <v>101</v>
      </c>
      <c r="D60" s="36" t="str">
        <f t="shared" si="3"/>
        <v>rokprognozy=2013 i lp=505</v>
      </c>
      <c r="E60" s="36" t="str">
        <f t="shared" si="12"/>
        <v>rokprognozy=2013 i lp=505</v>
      </c>
      <c r="F60" s="36" t="str">
        <f t="shared" si="12"/>
        <v>rokprognozy=2014 i lp=505</v>
      </c>
      <c r="G60" s="36" t="str">
        <f t="shared" si="12"/>
        <v>rokprognozy=2015 i lp=505</v>
      </c>
      <c r="H60" s="36" t="str">
        <f t="shared" si="12"/>
        <v>rokprognozy=2016 i lp=505</v>
      </c>
      <c r="I60" s="36" t="str">
        <f t="shared" si="12"/>
        <v>rokprognozy=2017 i lp=505</v>
      </c>
      <c r="J60" s="36" t="str">
        <f t="shared" si="12"/>
        <v>rokprognozy=2018 i lp=505</v>
      </c>
      <c r="K60" s="36" t="str">
        <f t="shared" si="12"/>
        <v>rokprognozy=2019 i lp=505</v>
      </c>
      <c r="L60" s="36" t="str">
        <f t="shared" si="12"/>
        <v>rokprognozy=2020 i lp=505</v>
      </c>
      <c r="M60" s="36" t="str">
        <f t="shared" si="12"/>
        <v>rokprognozy=2021 i lp=505</v>
      </c>
      <c r="N60" s="36" t="str">
        <f t="shared" si="13"/>
        <v>rokprognozy=2022 i lp=505</v>
      </c>
      <c r="O60" s="36" t="str">
        <f t="shared" si="13"/>
        <v>rokprognozy=2023 i lp=505</v>
      </c>
      <c r="P60" s="36" t="str">
        <f t="shared" si="13"/>
        <v>rokprognozy=2024 i lp=505</v>
      </c>
      <c r="Q60" s="36" t="str">
        <f t="shared" si="13"/>
        <v>rokprognozy=2025 i lp=505</v>
      </c>
      <c r="R60" s="36" t="str">
        <f t="shared" si="13"/>
        <v>rokprognozy=2026 i lp=505</v>
      </c>
      <c r="S60" s="36" t="str">
        <f t="shared" si="13"/>
        <v>rokprognozy=2027 i lp=505</v>
      </c>
      <c r="T60" s="36" t="str">
        <f t="shared" si="13"/>
        <v>rokprognozy=2028 i lp=505</v>
      </c>
      <c r="U60" s="36" t="str">
        <f t="shared" si="13"/>
        <v>rokprognozy=2029 i lp=505</v>
      </c>
      <c r="V60" s="36" t="str">
        <f t="shared" si="13"/>
        <v>rokprognozy=2030 i lp=505</v>
      </c>
      <c r="W60" s="36" t="str">
        <f t="shared" si="13"/>
        <v>rokprognozy=2031 i lp=505</v>
      </c>
      <c r="X60" s="36" t="str">
        <f t="shared" si="13"/>
        <v>rokprognozy=2032 i lp=505</v>
      </c>
      <c r="Y60" s="36" t="str">
        <f t="shared" si="13"/>
        <v>rokprognozy=2033 i lp=505</v>
      </c>
      <c r="Z60" s="36" t="str">
        <f t="shared" si="13"/>
        <v>rokprognozy=2034 i lp=505</v>
      </c>
      <c r="AA60" s="36" t="str">
        <f t="shared" si="13"/>
        <v>rokprognozy=2035 i lp=505</v>
      </c>
      <c r="AB60" s="36" t="str">
        <f t="shared" si="13"/>
        <v>rokprognozy=2036 i lp=505</v>
      </c>
      <c r="AC60" s="36" t="str">
        <f t="shared" si="13"/>
        <v>rokprognozy=2037 i lp=505</v>
      </c>
      <c r="AD60" s="36" t="str">
        <f aca="true" t="shared" si="14" ref="AD60:AH75">+"rokprognozy="&amp;AD$9&amp;" i lp="&amp;$A60</f>
        <v>rokprognozy=2038 i lp=505</v>
      </c>
      <c r="AE60" s="36" t="str">
        <f t="shared" si="14"/>
        <v>rokprognozy=2039 i lp=505</v>
      </c>
      <c r="AF60" s="36" t="str">
        <f t="shared" si="14"/>
        <v>rokprognozy=2040 i lp=505</v>
      </c>
      <c r="AG60" s="36" t="str">
        <f t="shared" si="14"/>
        <v>rokprognozy=2041 i lp=505</v>
      </c>
      <c r="AH60" s="36" t="str">
        <f t="shared" si="14"/>
        <v>rokprognozy=2042 i lp=505</v>
      </c>
    </row>
    <row r="61" spans="1:34" ht="11.25">
      <c r="A61" s="35">
        <v>510</v>
      </c>
      <c r="B61" s="35">
        <v>9.7</v>
      </c>
      <c r="C61" s="36" t="s">
        <v>102</v>
      </c>
      <c r="D61" s="36" t="str">
        <f t="shared" si="3"/>
        <v>rokprognozy=2013 i lp=510</v>
      </c>
      <c r="E61" s="36" t="str">
        <f t="shared" si="12"/>
        <v>rokprognozy=2013 i lp=510</v>
      </c>
      <c r="F61" s="36" t="str">
        <f t="shared" si="12"/>
        <v>rokprognozy=2014 i lp=510</v>
      </c>
      <c r="G61" s="36" t="str">
        <f t="shared" si="12"/>
        <v>rokprognozy=2015 i lp=510</v>
      </c>
      <c r="H61" s="36" t="str">
        <f t="shared" si="12"/>
        <v>rokprognozy=2016 i lp=510</v>
      </c>
      <c r="I61" s="36" t="str">
        <f t="shared" si="12"/>
        <v>rokprognozy=2017 i lp=510</v>
      </c>
      <c r="J61" s="36" t="str">
        <f t="shared" si="12"/>
        <v>rokprognozy=2018 i lp=510</v>
      </c>
      <c r="K61" s="36" t="str">
        <f t="shared" si="12"/>
        <v>rokprognozy=2019 i lp=510</v>
      </c>
      <c r="L61" s="36" t="str">
        <f t="shared" si="12"/>
        <v>rokprognozy=2020 i lp=510</v>
      </c>
      <c r="M61" s="36" t="str">
        <f t="shared" si="12"/>
        <v>rokprognozy=2021 i lp=510</v>
      </c>
      <c r="N61" s="36" t="str">
        <f t="shared" si="13"/>
        <v>rokprognozy=2022 i lp=510</v>
      </c>
      <c r="O61" s="36" t="str">
        <f t="shared" si="13"/>
        <v>rokprognozy=2023 i lp=510</v>
      </c>
      <c r="P61" s="36" t="str">
        <f t="shared" si="13"/>
        <v>rokprognozy=2024 i lp=510</v>
      </c>
      <c r="Q61" s="36" t="str">
        <f t="shared" si="13"/>
        <v>rokprognozy=2025 i lp=510</v>
      </c>
      <c r="R61" s="36" t="str">
        <f t="shared" si="13"/>
        <v>rokprognozy=2026 i lp=510</v>
      </c>
      <c r="S61" s="36" t="str">
        <f t="shared" si="13"/>
        <v>rokprognozy=2027 i lp=510</v>
      </c>
      <c r="T61" s="36" t="str">
        <f t="shared" si="13"/>
        <v>rokprognozy=2028 i lp=510</v>
      </c>
      <c r="U61" s="36" t="str">
        <f t="shared" si="13"/>
        <v>rokprognozy=2029 i lp=510</v>
      </c>
      <c r="V61" s="36" t="str">
        <f t="shared" si="13"/>
        <v>rokprognozy=2030 i lp=510</v>
      </c>
      <c r="W61" s="36" t="str">
        <f t="shared" si="13"/>
        <v>rokprognozy=2031 i lp=510</v>
      </c>
      <c r="X61" s="36" t="str">
        <f t="shared" si="13"/>
        <v>rokprognozy=2032 i lp=510</v>
      </c>
      <c r="Y61" s="36" t="str">
        <f t="shared" si="13"/>
        <v>rokprognozy=2033 i lp=510</v>
      </c>
      <c r="Z61" s="36" t="str">
        <f t="shared" si="13"/>
        <v>rokprognozy=2034 i lp=510</v>
      </c>
      <c r="AA61" s="36" t="str">
        <f t="shared" si="13"/>
        <v>rokprognozy=2035 i lp=510</v>
      </c>
      <c r="AB61" s="36" t="str">
        <f t="shared" si="13"/>
        <v>rokprognozy=2036 i lp=510</v>
      </c>
      <c r="AC61" s="36" t="str">
        <f t="shared" si="13"/>
        <v>rokprognozy=2037 i lp=510</v>
      </c>
      <c r="AD61" s="36" t="str">
        <f t="shared" si="14"/>
        <v>rokprognozy=2038 i lp=510</v>
      </c>
      <c r="AE61" s="36" t="str">
        <f t="shared" si="14"/>
        <v>rokprognozy=2039 i lp=510</v>
      </c>
      <c r="AF61" s="36" t="str">
        <f t="shared" si="14"/>
        <v>rokprognozy=2040 i lp=510</v>
      </c>
      <c r="AG61" s="36" t="str">
        <f t="shared" si="14"/>
        <v>rokprognozy=2041 i lp=510</v>
      </c>
      <c r="AH61" s="36" t="str">
        <f t="shared" si="14"/>
        <v>rokprognozy=2042 i lp=510</v>
      </c>
    </row>
    <row r="62" spans="1:34" ht="11.25">
      <c r="A62" s="35">
        <v>520</v>
      </c>
      <c r="B62" s="35" t="s">
        <v>103</v>
      </c>
      <c r="C62" s="36" t="s">
        <v>104</v>
      </c>
      <c r="D62" s="36" t="str">
        <f t="shared" si="3"/>
        <v>rokprognozy=2013 i lp=520</v>
      </c>
      <c r="E62" s="36" t="str">
        <f t="shared" si="12"/>
        <v>rokprognozy=2013 i lp=520</v>
      </c>
      <c r="F62" s="36" t="str">
        <f t="shared" si="12"/>
        <v>rokprognozy=2014 i lp=520</v>
      </c>
      <c r="G62" s="36" t="str">
        <f t="shared" si="12"/>
        <v>rokprognozy=2015 i lp=520</v>
      </c>
      <c r="H62" s="36" t="str">
        <f t="shared" si="12"/>
        <v>rokprognozy=2016 i lp=520</v>
      </c>
      <c r="I62" s="36" t="str">
        <f t="shared" si="12"/>
        <v>rokprognozy=2017 i lp=520</v>
      </c>
      <c r="J62" s="36" t="str">
        <f t="shared" si="12"/>
        <v>rokprognozy=2018 i lp=520</v>
      </c>
      <c r="K62" s="36" t="str">
        <f t="shared" si="12"/>
        <v>rokprognozy=2019 i lp=520</v>
      </c>
      <c r="L62" s="36" t="str">
        <f t="shared" si="12"/>
        <v>rokprognozy=2020 i lp=520</v>
      </c>
      <c r="M62" s="36" t="str">
        <f t="shared" si="12"/>
        <v>rokprognozy=2021 i lp=520</v>
      </c>
      <c r="N62" s="36" t="str">
        <f t="shared" si="13"/>
        <v>rokprognozy=2022 i lp=520</v>
      </c>
      <c r="O62" s="36" t="str">
        <f t="shared" si="13"/>
        <v>rokprognozy=2023 i lp=520</v>
      </c>
      <c r="P62" s="36" t="str">
        <f t="shared" si="13"/>
        <v>rokprognozy=2024 i lp=520</v>
      </c>
      <c r="Q62" s="36" t="str">
        <f t="shared" si="13"/>
        <v>rokprognozy=2025 i lp=520</v>
      </c>
      <c r="R62" s="36" t="str">
        <f t="shared" si="13"/>
        <v>rokprognozy=2026 i lp=520</v>
      </c>
      <c r="S62" s="36" t="str">
        <f t="shared" si="13"/>
        <v>rokprognozy=2027 i lp=520</v>
      </c>
      <c r="T62" s="36" t="str">
        <f t="shared" si="13"/>
        <v>rokprognozy=2028 i lp=520</v>
      </c>
      <c r="U62" s="36" t="str">
        <f t="shared" si="13"/>
        <v>rokprognozy=2029 i lp=520</v>
      </c>
      <c r="V62" s="36" t="str">
        <f t="shared" si="13"/>
        <v>rokprognozy=2030 i lp=520</v>
      </c>
      <c r="W62" s="36" t="str">
        <f t="shared" si="13"/>
        <v>rokprognozy=2031 i lp=520</v>
      </c>
      <c r="X62" s="36" t="str">
        <f t="shared" si="13"/>
        <v>rokprognozy=2032 i lp=520</v>
      </c>
      <c r="Y62" s="36" t="str">
        <f t="shared" si="13"/>
        <v>rokprognozy=2033 i lp=520</v>
      </c>
      <c r="Z62" s="36" t="str">
        <f t="shared" si="13"/>
        <v>rokprognozy=2034 i lp=520</v>
      </c>
      <c r="AA62" s="36" t="str">
        <f t="shared" si="13"/>
        <v>rokprognozy=2035 i lp=520</v>
      </c>
      <c r="AB62" s="36" t="str">
        <f t="shared" si="13"/>
        <v>rokprognozy=2036 i lp=520</v>
      </c>
      <c r="AC62" s="36" t="str">
        <f t="shared" si="13"/>
        <v>rokprognozy=2037 i lp=520</v>
      </c>
      <c r="AD62" s="36" t="str">
        <f t="shared" si="14"/>
        <v>rokprognozy=2038 i lp=520</v>
      </c>
      <c r="AE62" s="36" t="str">
        <f t="shared" si="14"/>
        <v>rokprognozy=2039 i lp=520</v>
      </c>
      <c r="AF62" s="36" t="str">
        <f t="shared" si="14"/>
        <v>rokprognozy=2040 i lp=520</v>
      </c>
      <c r="AG62" s="36" t="str">
        <f t="shared" si="14"/>
        <v>rokprognozy=2041 i lp=520</v>
      </c>
      <c r="AH62" s="36" t="str">
        <f t="shared" si="14"/>
        <v>rokprognozy=2042 i lp=520</v>
      </c>
    </row>
    <row r="63" spans="1:34" ht="11.25">
      <c r="A63" s="35">
        <v>530</v>
      </c>
      <c r="B63" s="35">
        <v>9.8</v>
      </c>
      <c r="C63" s="36" t="s">
        <v>105</v>
      </c>
      <c r="D63" s="36" t="str">
        <f t="shared" si="3"/>
        <v>rokprognozy=2013 i lp=530</v>
      </c>
      <c r="E63" s="36" t="str">
        <f t="shared" si="12"/>
        <v>rokprognozy=2013 i lp=530</v>
      </c>
      <c r="F63" s="36" t="str">
        <f t="shared" si="12"/>
        <v>rokprognozy=2014 i lp=530</v>
      </c>
      <c r="G63" s="36" t="str">
        <f t="shared" si="12"/>
        <v>rokprognozy=2015 i lp=530</v>
      </c>
      <c r="H63" s="36" t="str">
        <f t="shared" si="12"/>
        <v>rokprognozy=2016 i lp=530</v>
      </c>
      <c r="I63" s="36" t="str">
        <f t="shared" si="12"/>
        <v>rokprognozy=2017 i lp=530</v>
      </c>
      <c r="J63" s="36" t="str">
        <f t="shared" si="12"/>
        <v>rokprognozy=2018 i lp=530</v>
      </c>
      <c r="K63" s="36" t="str">
        <f t="shared" si="12"/>
        <v>rokprognozy=2019 i lp=530</v>
      </c>
      <c r="L63" s="36" t="str">
        <f t="shared" si="12"/>
        <v>rokprognozy=2020 i lp=530</v>
      </c>
      <c r="M63" s="36" t="str">
        <f t="shared" si="12"/>
        <v>rokprognozy=2021 i lp=530</v>
      </c>
      <c r="N63" s="36" t="str">
        <f t="shared" si="13"/>
        <v>rokprognozy=2022 i lp=530</v>
      </c>
      <c r="O63" s="36" t="str">
        <f t="shared" si="13"/>
        <v>rokprognozy=2023 i lp=530</v>
      </c>
      <c r="P63" s="36" t="str">
        <f t="shared" si="13"/>
        <v>rokprognozy=2024 i lp=530</v>
      </c>
      <c r="Q63" s="36" t="str">
        <f t="shared" si="13"/>
        <v>rokprognozy=2025 i lp=530</v>
      </c>
      <c r="R63" s="36" t="str">
        <f t="shared" si="13"/>
        <v>rokprognozy=2026 i lp=530</v>
      </c>
      <c r="S63" s="36" t="str">
        <f t="shared" si="13"/>
        <v>rokprognozy=2027 i lp=530</v>
      </c>
      <c r="T63" s="36" t="str">
        <f t="shared" si="13"/>
        <v>rokprognozy=2028 i lp=530</v>
      </c>
      <c r="U63" s="36" t="str">
        <f t="shared" si="13"/>
        <v>rokprognozy=2029 i lp=530</v>
      </c>
      <c r="V63" s="36" t="str">
        <f t="shared" si="13"/>
        <v>rokprognozy=2030 i lp=530</v>
      </c>
      <c r="W63" s="36" t="str">
        <f t="shared" si="13"/>
        <v>rokprognozy=2031 i lp=530</v>
      </c>
      <c r="X63" s="36" t="str">
        <f t="shared" si="13"/>
        <v>rokprognozy=2032 i lp=530</v>
      </c>
      <c r="Y63" s="36" t="str">
        <f t="shared" si="13"/>
        <v>rokprognozy=2033 i lp=530</v>
      </c>
      <c r="Z63" s="36" t="str">
        <f t="shared" si="13"/>
        <v>rokprognozy=2034 i lp=530</v>
      </c>
      <c r="AA63" s="36" t="str">
        <f t="shared" si="13"/>
        <v>rokprognozy=2035 i lp=530</v>
      </c>
      <c r="AB63" s="36" t="str">
        <f t="shared" si="13"/>
        <v>rokprognozy=2036 i lp=530</v>
      </c>
      <c r="AC63" s="36" t="str">
        <f t="shared" si="13"/>
        <v>rokprognozy=2037 i lp=530</v>
      </c>
      <c r="AD63" s="36" t="str">
        <f t="shared" si="14"/>
        <v>rokprognozy=2038 i lp=530</v>
      </c>
      <c r="AE63" s="36" t="str">
        <f t="shared" si="14"/>
        <v>rokprognozy=2039 i lp=530</v>
      </c>
      <c r="AF63" s="36" t="str">
        <f t="shared" si="14"/>
        <v>rokprognozy=2040 i lp=530</v>
      </c>
      <c r="AG63" s="36" t="str">
        <f t="shared" si="14"/>
        <v>rokprognozy=2041 i lp=530</v>
      </c>
      <c r="AH63" s="36" t="str">
        <f t="shared" si="14"/>
        <v>rokprognozy=2042 i lp=530</v>
      </c>
    </row>
    <row r="64" spans="1:34" ht="11.25">
      <c r="A64" s="35">
        <v>540</v>
      </c>
      <c r="B64" s="35" t="s">
        <v>106</v>
      </c>
      <c r="C64" s="36" t="s">
        <v>107</v>
      </c>
      <c r="D64" s="36" t="str">
        <f t="shared" si="3"/>
        <v>rokprognozy=2013 i lp=540</v>
      </c>
      <c r="E64" s="36" t="str">
        <f t="shared" si="12"/>
        <v>rokprognozy=2013 i lp=540</v>
      </c>
      <c r="F64" s="36" t="str">
        <f t="shared" si="12"/>
        <v>rokprognozy=2014 i lp=540</v>
      </c>
      <c r="G64" s="36" t="str">
        <f t="shared" si="12"/>
        <v>rokprognozy=2015 i lp=540</v>
      </c>
      <c r="H64" s="36" t="str">
        <f t="shared" si="12"/>
        <v>rokprognozy=2016 i lp=540</v>
      </c>
      <c r="I64" s="36" t="str">
        <f t="shared" si="12"/>
        <v>rokprognozy=2017 i lp=540</v>
      </c>
      <c r="J64" s="36" t="str">
        <f t="shared" si="12"/>
        <v>rokprognozy=2018 i lp=540</v>
      </c>
      <c r="K64" s="36" t="str">
        <f t="shared" si="12"/>
        <v>rokprognozy=2019 i lp=540</v>
      </c>
      <c r="L64" s="36" t="str">
        <f t="shared" si="12"/>
        <v>rokprognozy=2020 i lp=540</v>
      </c>
      <c r="M64" s="36" t="str">
        <f t="shared" si="12"/>
        <v>rokprognozy=2021 i lp=540</v>
      </c>
      <c r="N64" s="36" t="str">
        <f t="shared" si="13"/>
        <v>rokprognozy=2022 i lp=540</v>
      </c>
      <c r="O64" s="36" t="str">
        <f t="shared" si="13"/>
        <v>rokprognozy=2023 i lp=540</v>
      </c>
      <c r="P64" s="36" t="str">
        <f t="shared" si="13"/>
        <v>rokprognozy=2024 i lp=540</v>
      </c>
      <c r="Q64" s="36" t="str">
        <f t="shared" si="13"/>
        <v>rokprognozy=2025 i lp=540</v>
      </c>
      <c r="R64" s="36" t="str">
        <f t="shared" si="13"/>
        <v>rokprognozy=2026 i lp=540</v>
      </c>
      <c r="S64" s="36" t="str">
        <f t="shared" si="13"/>
        <v>rokprognozy=2027 i lp=540</v>
      </c>
      <c r="T64" s="36" t="str">
        <f t="shared" si="13"/>
        <v>rokprognozy=2028 i lp=540</v>
      </c>
      <c r="U64" s="36" t="str">
        <f t="shared" si="13"/>
        <v>rokprognozy=2029 i lp=540</v>
      </c>
      <c r="V64" s="36" t="str">
        <f t="shared" si="13"/>
        <v>rokprognozy=2030 i lp=540</v>
      </c>
      <c r="W64" s="36" t="str">
        <f t="shared" si="13"/>
        <v>rokprognozy=2031 i lp=540</v>
      </c>
      <c r="X64" s="36" t="str">
        <f t="shared" si="13"/>
        <v>rokprognozy=2032 i lp=540</v>
      </c>
      <c r="Y64" s="36" t="str">
        <f t="shared" si="13"/>
        <v>rokprognozy=2033 i lp=540</v>
      </c>
      <c r="Z64" s="36" t="str">
        <f t="shared" si="13"/>
        <v>rokprognozy=2034 i lp=540</v>
      </c>
      <c r="AA64" s="36" t="str">
        <f t="shared" si="13"/>
        <v>rokprognozy=2035 i lp=540</v>
      </c>
      <c r="AB64" s="36" t="str">
        <f t="shared" si="13"/>
        <v>rokprognozy=2036 i lp=540</v>
      </c>
      <c r="AC64" s="36" t="str">
        <f t="shared" si="13"/>
        <v>rokprognozy=2037 i lp=540</v>
      </c>
      <c r="AD64" s="36" t="str">
        <f t="shared" si="14"/>
        <v>rokprognozy=2038 i lp=540</v>
      </c>
      <c r="AE64" s="36" t="str">
        <f t="shared" si="14"/>
        <v>rokprognozy=2039 i lp=540</v>
      </c>
      <c r="AF64" s="36" t="str">
        <f t="shared" si="14"/>
        <v>rokprognozy=2040 i lp=540</v>
      </c>
      <c r="AG64" s="36" t="str">
        <f t="shared" si="14"/>
        <v>rokprognozy=2041 i lp=540</v>
      </c>
      <c r="AH64" s="36" t="str">
        <f t="shared" si="14"/>
        <v>rokprognozy=2042 i lp=540</v>
      </c>
    </row>
    <row r="65" spans="1:34" ht="11.25">
      <c r="A65" s="35">
        <v>550</v>
      </c>
      <c r="B65" s="35">
        <v>10</v>
      </c>
      <c r="C65" s="36" t="s">
        <v>108</v>
      </c>
      <c r="D65" s="36" t="str">
        <f t="shared" si="3"/>
        <v>rokprognozy=2013 i lp=550</v>
      </c>
      <c r="E65" s="36" t="str">
        <f t="shared" si="12"/>
        <v>rokprognozy=2013 i lp=550</v>
      </c>
      <c r="F65" s="36" t="str">
        <f t="shared" si="12"/>
        <v>rokprognozy=2014 i lp=550</v>
      </c>
      <c r="G65" s="36" t="str">
        <f t="shared" si="12"/>
        <v>rokprognozy=2015 i lp=550</v>
      </c>
      <c r="H65" s="36" t="str">
        <f t="shared" si="12"/>
        <v>rokprognozy=2016 i lp=550</v>
      </c>
      <c r="I65" s="36" t="str">
        <f t="shared" si="12"/>
        <v>rokprognozy=2017 i lp=550</v>
      </c>
      <c r="J65" s="36" t="str">
        <f t="shared" si="12"/>
        <v>rokprognozy=2018 i lp=550</v>
      </c>
      <c r="K65" s="36" t="str">
        <f t="shared" si="12"/>
        <v>rokprognozy=2019 i lp=550</v>
      </c>
      <c r="L65" s="36" t="str">
        <f t="shared" si="12"/>
        <v>rokprognozy=2020 i lp=550</v>
      </c>
      <c r="M65" s="36" t="str">
        <f t="shared" si="12"/>
        <v>rokprognozy=2021 i lp=550</v>
      </c>
      <c r="N65" s="36" t="str">
        <f t="shared" si="13"/>
        <v>rokprognozy=2022 i lp=550</v>
      </c>
      <c r="O65" s="36" t="str">
        <f t="shared" si="13"/>
        <v>rokprognozy=2023 i lp=550</v>
      </c>
      <c r="P65" s="36" t="str">
        <f t="shared" si="13"/>
        <v>rokprognozy=2024 i lp=550</v>
      </c>
      <c r="Q65" s="36" t="str">
        <f t="shared" si="13"/>
        <v>rokprognozy=2025 i lp=550</v>
      </c>
      <c r="R65" s="36" t="str">
        <f t="shared" si="13"/>
        <v>rokprognozy=2026 i lp=550</v>
      </c>
      <c r="S65" s="36" t="str">
        <f t="shared" si="13"/>
        <v>rokprognozy=2027 i lp=550</v>
      </c>
      <c r="T65" s="36" t="str">
        <f t="shared" si="13"/>
        <v>rokprognozy=2028 i lp=550</v>
      </c>
      <c r="U65" s="36" t="str">
        <f t="shared" si="13"/>
        <v>rokprognozy=2029 i lp=550</v>
      </c>
      <c r="V65" s="36" t="str">
        <f t="shared" si="13"/>
        <v>rokprognozy=2030 i lp=550</v>
      </c>
      <c r="W65" s="36" t="str">
        <f t="shared" si="13"/>
        <v>rokprognozy=2031 i lp=550</v>
      </c>
      <c r="X65" s="36" t="str">
        <f t="shared" si="13"/>
        <v>rokprognozy=2032 i lp=550</v>
      </c>
      <c r="Y65" s="36" t="str">
        <f t="shared" si="13"/>
        <v>rokprognozy=2033 i lp=550</v>
      </c>
      <c r="Z65" s="36" t="str">
        <f t="shared" si="13"/>
        <v>rokprognozy=2034 i lp=550</v>
      </c>
      <c r="AA65" s="36" t="str">
        <f t="shared" si="13"/>
        <v>rokprognozy=2035 i lp=550</v>
      </c>
      <c r="AB65" s="36" t="str">
        <f t="shared" si="13"/>
        <v>rokprognozy=2036 i lp=550</v>
      </c>
      <c r="AC65" s="36" t="str">
        <f t="shared" si="13"/>
        <v>rokprognozy=2037 i lp=550</v>
      </c>
      <c r="AD65" s="36" t="str">
        <f t="shared" si="14"/>
        <v>rokprognozy=2038 i lp=550</v>
      </c>
      <c r="AE65" s="36" t="str">
        <f t="shared" si="14"/>
        <v>rokprognozy=2039 i lp=550</v>
      </c>
      <c r="AF65" s="36" t="str">
        <f t="shared" si="14"/>
        <v>rokprognozy=2040 i lp=550</v>
      </c>
      <c r="AG65" s="36" t="str">
        <f t="shared" si="14"/>
        <v>rokprognozy=2041 i lp=550</v>
      </c>
      <c r="AH65" s="36" t="str">
        <f t="shared" si="14"/>
        <v>rokprognozy=2042 i lp=550</v>
      </c>
    </row>
    <row r="66" spans="1:34" ht="11.25">
      <c r="A66" s="35">
        <v>560</v>
      </c>
      <c r="B66" s="35">
        <v>10.1</v>
      </c>
      <c r="C66" s="36" t="s">
        <v>109</v>
      </c>
      <c r="D66" s="36" t="str">
        <f t="shared" si="3"/>
        <v>rokprognozy=2013 i lp=560</v>
      </c>
      <c r="E66" s="36" t="str">
        <f t="shared" si="12"/>
        <v>rokprognozy=2013 i lp=560</v>
      </c>
      <c r="F66" s="36" t="str">
        <f t="shared" si="12"/>
        <v>rokprognozy=2014 i lp=560</v>
      </c>
      <c r="G66" s="36" t="str">
        <f t="shared" si="12"/>
        <v>rokprognozy=2015 i lp=560</v>
      </c>
      <c r="H66" s="36" t="str">
        <f t="shared" si="12"/>
        <v>rokprognozy=2016 i lp=560</v>
      </c>
      <c r="I66" s="36" t="str">
        <f t="shared" si="12"/>
        <v>rokprognozy=2017 i lp=560</v>
      </c>
      <c r="J66" s="36" t="str">
        <f t="shared" si="12"/>
        <v>rokprognozy=2018 i lp=560</v>
      </c>
      <c r="K66" s="36" t="str">
        <f t="shared" si="12"/>
        <v>rokprognozy=2019 i lp=560</v>
      </c>
      <c r="L66" s="36" t="str">
        <f t="shared" si="12"/>
        <v>rokprognozy=2020 i lp=560</v>
      </c>
      <c r="M66" s="36" t="str">
        <f t="shared" si="12"/>
        <v>rokprognozy=2021 i lp=560</v>
      </c>
      <c r="N66" s="36" t="str">
        <f t="shared" si="13"/>
        <v>rokprognozy=2022 i lp=560</v>
      </c>
      <c r="O66" s="36" t="str">
        <f t="shared" si="13"/>
        <v>rokprognozy=2023 i lp=560</v>
      </c>
      <c r="P66" s="36" t="str">
        <f t="shared" si="13"/>
        <v>rokprognozy=2024 i lp=560</v>
      </c>
      <c r="Q66" s="36" t="str">
        <f t="shared" si="13"/>
        <v>rokprognozy=2025 i lp=560</v>
      </c>
      <c r="R66" s="36" t="str">
        <f t="shared" si="13"/>
        <v>rokprognozy=2026 i lp=560</v>
      </c>
      <c r="S66" s="36" t="str">
        <f t="shared" si="13"/>
        <v>rokprognozy=2027 i lp=560</v>
      </c>
      <c r="T66" s="36" t="str">
        <f t="shared" si="13"/>
        <v>rokprognozy=2028 i lp=560</v>
      </c>
      <c r="U66" s="36" t="str">
        <f t="shared" si="13"/>
        <v>rokprognozy=2029 i lp=560</v>
      </c>
      <c r="V66" s="36" t="str">
        <f t="shared" si="13"/>
        <v>rokprognozy=2030 i lp=560</v>
      </c>
      <c r="W66" s="36" t="str">
        <f t="shared" si="13"/>
        <v>rokprognozy=2031 i lp=560</v>
      </c>
      <c r="X66" s="36" t="str">
        <f t="shared" si="13"/>
        <v>rokprognozy=2032 i lp=560</v>
      </c>
      <c r="Y66" s="36" t="str">
        <f t="shared" si="13"/>
        <v>rokprognozy=2033 i lp=560</v>
      </c>
      <c r="Z66" s="36" t="str">
        <f t="shared" si="13"/>
        <v>rokprognozy=2034 i lp=560</v>
      </c>
      <c r="AA66" s="36" t="str">
        <f t="shared" si="13"/>
        <v>rokprognozy=2035 i lp=560</v>
      </c>
      <c r="AB66" s="36" t="str">
        <f t="shared" si="13"/>
        <v>rokprognozy=2036 i lp=560</v>
      </c>
      <c r="AC66" s="36" t="str">
        <f t="shared" si="13"/>
        <v>rokprognozy=2037 i lp=560</v>
      </c>
      <c r="AD66" s="36" t="str">
        <f t="shared" si="14"/>
        <v>rokprognozy=2038 i lp=560</v>
      </c>
      <c r="AE66" s="36" t="str">
        <f t="shared" si="14"/>
        <v>rokprognozy=2039 i lp=560</v>
      </c>
      <c r="AF66" s="36" t="str">
        <f t="shared" si="14"/>
        <v>rokprognozy=2040 i lp=560</v>
      </c>
      <c r="AG66" s="36" t="str">
        <f t="shared" si="14"/>
        <v>rokprognozy=2041 i lp=560</v>
      </c>
      <c r="AH66" s="36" t="str">
        <f t="shared" si="14"/>
        <v>rokprognozy=2042 i lp=560</v>
      </c>
    </row>
    <row r="67" spans="1:34" ht="11.25">
      <c r="A67" s="35">
        <v>570</v>
      </c>
      <c r="B67" s="35">
        <v>11</v>
      </c>
      <c r="C67" s="36" t="s">
        <v>110</v>
      </c>
      <c r="D67" s="36" t="str">
        <f t="shared" si="3"/>
        <v>rokprognozy=2013 i lp=570</v>
      </c>
      <c r="E67" s="36" t="str">
        <f t="shared" si="12"/>
        <v>rokprognozy=2013 i lp=570</v>
      </c>
      <c r="F67" s="36" t="str">
        <f t="shared" si="12"/>
        <v>rokprognozy=2014 i lp=570</v>
      </c>
      <c r="G67" s="36" t="str">
        <f t="shared" si="12"/>
        <v>rokprognozy=2015 i lp=570</v>
      </c>
      <c r="H67" s="36" t="str">
        <f t="shared" si="12"/>
        <v>rokprognozy=2016 i lp=570</v>
      </c>
      <c r="I67" s="36" t="str">
        <f t="shared" si="12"/>
        <v>rokprognozy=2017 i lp=570</v>
      </c>
      <c r="J67" s="36" t="str">
        <f t="shared" si="12"/>
        <v>rokprognozy=2018 i lp=570</v>
      </c>
      <c r="K67" s="36" t="str">
        <f t="shared" si="12"/>
        <v>rokprognozy=2019 i lp=570</v>
      </c>
      <c r="L67" s="36" t="str">
        <f t="shared" si="12"/>
        <v>rokprognozy=2020 i lp=570</v>
      </c>
      <c r="M67" s="36" t="str">
        <f t="shared" si="12"/>
        <v>rokprognozy=2021 i lp=570</v>
      </c>
      <c r="N67" s="36" t="str">
        <f t="shared" si="13"/>
        <v>rokprognozy=2022 i lp=570</v>
      </c>
      <c r="O67" s="36" t="str">
        <f t="shared" si="13"/>
        <v>rokprognozy=2023 i lp=570</v>
      </c>
      <c r="P67" s="36" t="str">
        <f t="shared" si="13"/>
        <v>rokprognozy=2024 i lp=570</v>
      </c>
      <c r="Q67" s="36" t="str">
        <f t="shared" si="13"/>
        <v>rokprognozy=2025 i lp=570</v>
      </c>
      <c r="R67" s="36" t="str">
        <f t="shared" si="13"/>
        <v>rokprognozy=2026 i lp=570</v>
      </c>
      <c r="S67" s="36" t="str">
        <f t="shared" si="13"/>
        <v>rokprognozy=2027 i lp=570</v>
      </c>
      <c r="T67" s="36" t="str">
        <f t="shared" si="13"/>
        <v>rokprognozy=2028 i lp=570</v>
      </c>
      <c r="U67" s="36" t="str">
        <f t="shared" si="13"/>
        <v>rokprognozy=2029 i lp=570</v>
      </c>
      <c r="V67" s="36" t="str">
        <f t="shared" si="13"/>
        <v>rokprognozy=2030 i lp=570</v>
      </c>
      <c r="W67" s="36" t="str">
        <f t="shared" si="13"/>
        <v>rokprognozy=2031 i lp=570</v>
      </c>
      <c r="X67" s="36" t="str">
        <f t="shared" si="13"/>
        <v>rokprognozy=2032 i lp=570</v>
      </c>
      <c r="Y67" s="36" t="str">
        <f t="shared" si="13"/>
        <v>rokprognozy=2033 i lp=570</v>
      </c>
      <c r="Z67" s="36" t="str">
        <f t="shared" si="13"/>
        <v>rokprognozy=2034 i lp=570</v>
      </c>
      <c r="AA67" s="36" t="str">
        <f t="shared" si="13"/>
        <v>rokprognozy=2035 i lp=570</v>
      </c>
      <c r="AB67" s="36" t="str">
        <f t="shared" si="13"/>
        <v>rokprognozy=2036 i lp=570</v>
      </c>
      <c r="AC67" s="36" t="str">
        <f t="shared" si="13"/>
        <v>rokprognozy=2037 i lp=570</v>
      </c>
      <c r="AD67" s="36" t="str">
        <f t="shared" si="14"/>
        <v>rokprognozy=2038 i lp=570</v>
      </c>
      <c r="AE67" s="36" t="str">
        <f t="shared" si="14"/>
        <v>rokprognozy=2039 i lp=570</v>
      </c>
      <c r="AF67" s="36" t="str">
        <f t="shared" si="14"/>
        <v>rokprognozy=2040 i lp=570</v>
      </c>
      <c r="AG67" s="36" t="str">
        <f t="shared" si="14"/>
        <v>rokprognozy=2041 i lp=570</v>
      </c>
      <c r="AH67" s="36" t="str">
        <f t="shared" si="14"/>
        <v>rokprognozy=2042 i lp=570</v>
      </c>
    </row>
    <row r="68" spans="1:34" ht="11.25">
      <c r="A68" s="35">
        <v>580</v>
      </c>
      <c r="B68" s="35">
        <v>11.1</v>
      </c>
      <c r="C68" s="36" t="s">
        <v>111</v>
      </c>
      <c r="D68" s="36" t="str">
        <f t="shared" si="3"/>
        <v>rokprognozy=2013 i lp=580</v>
      </c>
      <c r="E68" s="36" t="str">
        <f t="shared" si="12"/>
        <v>rokprognozy=2013 i lp=580</v>
      </c>
      <c r="F68" s="36" t="str">
        <f t="shared" si="12"/>
        <v>rokprognozy=2014 i lp=580</v>
      </c>
      <c r="G68" s="36" t="str">
        <f t="shared" si="12"/>
        <v>rokprognozy=2015 i lp=580</v>
      </c>
      <c r="H68" s="36" t="str">
        <f t="shared" si="12"/>
        <v>rokprognozy=2016 i lp=580</v>
      </c>
      <c r="I68" s="36" t="str">
        <f t="shared" si="12"/>
        <v>rokprognozy=2017 i lp=580</v>
      </c>
      <c r="J68" s="36" t="str">
        <f t="shared" si="12"/>
        <v>rokprognozy=2018 i lp=580</v>
      </c>
      <c r="K68" s="36" t="str">
        <f t="shared" si="12"/>
        <v>rokprognozy=2019 i lp=580</v>
      </c>
      <c r="L68" s="36" t="str">
        <f t="shared" si="12"/>
        <v>rokprognozy=2020 i lp=580</v>
      </c>
      <c r="M68" s="36" t="str">
        <f t="shared" si="12"/>
        <v>rokprognozy=2021 i lp=580</v>
      </c>
      <c r="N68" s="36" t="str">
        <f t="shared" si="13"/>
        <v>rokprognozy=2022 i lp=580</v>
      </c>
      <c r="O68" s="36" t="str">
        <f t="shared" si="13"/>
        <v>rokprognozy=2023 i lp=580</v>
      </c>
      <c r="P68" s="36" t="str">
        <f t="shared" si="13"/>
        <v>rokprognozy=2024 i lp=580</v>
      </c>
      <c r="Q68" s="36" t="str">
        <f t="shared" si="13"/>
        <v>rokprognozy=2025 i lp=580</v>
      </c>
      <c r="R68" s="36" t="str">
        <f t="shared" si="13"/>
        <v>rokprognozy=2026 i lp=580</v>
      </c>
      <c r="S68" s="36" t="str">
        <f t="shared" si="13"/>
        <v>rokprognozy=2027 i lp=580</v>
      </c>
      <c r="T68" s="36" t="str">
        <f t="shared" si="13"/>
        <v>rokprognozy=2028 i lp=580</v>
      </c>
      <c r="U68" s="36" t="str">
        <f t="shared" si="13"/>
        <v>rokprognozy=2029 i lp=580</v>
      </c>
      <c r="V68" s="36" t="str">
        <f t="shared" si="13"/>
        <v>rokprognozy=2030 i lp=580</v>
      </c>
      <c r="W68" s="36" t="str">
        <f t="shared" si="13"/>
        <v>rokprognozy=2031 i lp=580</v>
      </c>
      <c r="X68" s="36" t="str">
        <f t="shared" si="13"/>
        <v>rokprognozy=2032 i lp=580</v>
      </c>
      <c r="Y68" s="36" t="str">
        <f t="shared" si="13"/>
        <v>rokprognozy=2033 i lp=580</v>
      </c>
      <c r="Z68" s="36" t="str">
        <f t="shared" si="13"/>
        <v>rokprognozy=2034 i lp=580</v>
      </c>
      <c r="AA68" s="36" t="str">
        <f t="shared" si="13"/>
        <v>rokprognozy=2035 i lp=580</v>
      </c>
      <c r="AB68" s="36" t="str">
        <f t="shared" si="13"/>
        <v>rokprognozy=2036 i lp=580</v>
      </c>
      <c r="AC68" s="36" t="str">
        <f t="shared" si="13"/>
        <v>rokprognozy=2037 i lp=580</v>
      </c>
      <c r="AD68" s="36" t="str">
        <f t="shared" si="14"/>
        <v>rokprognozy=2038 i lp=580</v>
      </c>
      <c r="AE68" s="36" t="str">
        <f t="shared" si="14"/>
        <v>rokprognozy=2039 i lp=580</v>
      </c>
      <c r="AF68" s="36" t="str">
        <f t="shared" si="14"/>
        <v>rokprognozy=2040 i lp=580</v>
      </c>
      <c r="AG68" s="36" t="str">
        <f t="shared" si="14"/>
        <v>rokprognozy=2041 i lp=580</v>
      </c>
      <c r="AH68" s="36" t="str">
        <f t="shared" si="14"/>
        <v>rokprognozy=2042 i lp=580</v>
      </c>
    </row>
    <row r="69" spans="1:34" ht="11.25">
      <c r="A69" s="35">
        <v>590</v>
      </c>
      <c r="B69" s="35">
        <v>11.2</v>
      </c>
      <c r="C69" s="36" t="s">
        <v>112</v>
      </c>
      <c r="D69" s="36" t="str">
        <f t="shared" si="3"/>
        <v>rokprognozy=2013 i lp=590</v>
      </c>
      <c r="E69" s="36" t="str">
        <f aca="true" t="shared" si="15" ref="E69:T84">+"rokprognozy="&amp;E$9&amp;" i lp="&amp;$A69</f>
        <v>rokprognozy=2013 i lp=590</v>
      </c>
      <c r="F69" s="36" t="str">
        <f t="shared" si="15"/>
        <v>rokprognozy=2014 i lp=590</v>
      </c>
      <c r="G69" s="36" t="str">
        <f t="shared" si="15"/>
        <v>rokprognozy=2015 i lp=590</v>
      </c>
      <c r="H69" s="36" t="str">
        <f t="shared" si="15"/>
        <v>rokprognozy=2016 i lp=590</v>
      </c>
      <c r="I69" s="36" t="str">
        <f t="shared" si="15"/>
        <v>rokprognozy=2017 i lp=590</v>
      </c>
      <c r="J69" s="36" t="str">
        <f t="shared" si="15"/>
        <v>rokprognozy=2018 i lp=590</v>
      </c>
      <c r="K69" s="36" t="str">
        <f t="shared" si="15"/>
        <v>rokprognozy=2019 i lp=590</v>
      </c>
      <c r="L69" s="36" t="str">
        <f t="shared" si="15"/>
        <v>rokprognozy=2020 i lp=590</v>
      </c>
      <c r="M69" s="36" t="str">
        <f t="shared" si="15"/>
        <v>rokprognozy=2021 i lp=590</v>
      </c>
      <c r="N69" s="36" t="str">
        <f t="shared" si="13"/>
        <v>rokprognozy=2022 i lp=590</v>
      </c>
      <c r="O69" s="36" t="str">
        <f t="shared" si="13"/>
        <v>rokprognozy=2023 i lp=590</v>
      </c>
      <c r="P69" s="36" t="str">
        <f t="shared" si="13"/>
        <v>rokprognozy=2024 i lp=590</v>
      </c>
      <c r="Q69" s="36" t="str">
        <f t="shared" si="13"/>
        <v>rokprognozy=2025 i lp=590</v>
      </c>
      <c r="R69" s="36" t="str">
        <f t="shared" si="13"/>
        <v>rokprognozy=2026 i lp=590</v>
      </c>
      <c r="S69" s="36" t="str">
        <f t="shared" si="13"/>
        <v>rokprognozy=2027 i lp=590</v>
      </c>
      <c r="T69" s="36" t="str">
        <f t="shared" si="13"/>
        <v>rokprognozy=2028 i lp=590</v>
      </c>
      <c r="U69" s="36" t="str">
        <f t="shared" si="13"/>
        <v>rokprognozy=2029 i lp=590</v>
      </c>
      <c r="V69" s="36" t="str">
        <f t="shared" si="13"/>
        <v>rokprognozy=2030 i lp=590</v>
      </c>
      <c r="W69" s="36" t="str">
        <f t="shared" si="13"/>
        <v>rokprognozy=2031 i lp=590</v>
      </c>
      <c r="X69" s="36" t="str">
        <f t="shared" si="13"/>
        <v>rokprognozy=2032 i lp=590</v>
      </c>
      <c r="Y69" s="36" t="str">
        <f t="shared" si="13"/>
        <v>rokprognozy=2033 i lp=590</v>
      </c>
      <c r="Z69" s="36" t="str">
        <f t="shared" si="13"/>
        <v>rokprognozy=2034 i lp=590</v>
      </c>
      <c r="AA69" s="36" t="str">
        <f t="shared" si="13"/>
        <v>rokprognozy=2035 i lp=590</v>
      </c>
      <c r="AB69" s="36" t="str">
        <f t="shared" si="13"/>
        <v>rokprognozy=2036 i lp=590</v>
      </c>
      <c r="AC69" s="36" t="str">
        <f t="shared" si="13"/>
        <v>rokprognozy=2037 i lp=590</v>
      </c>
      <c r="AD69" s="36" t="str">
        <f t="shared" si="14"/>
        <v>rokprognozy=2038 i lp=590</v>
      </c>
      <c r="AE69" s="36" t="str">
        <f t="shared" si="14"/>
        <v>rokprognozy=2039 i lp=590</v>
      </c>
      <c r="AF69" s="36" t="str">
        <f t="shared" si="14"/>
        <v>rokprognozy=2040 i lp=590</v>
      </c>
      <c r="AG69" s="36" t="str">
        <f t="shared" si="14"/>
        <v>rokprognozy=2041 i lp=590</v>
      </c>
      <c r="AH69" s="36" t="str">
        <f t="shared" si="14"/>
        <v>rokprognozy=2042 i lp=590</v>
      </c>
    </row>
    <row r="70" spans="1:34" ht="11.25">
      <c r="A70" s="35">
        <v>600</v>
      </c>
      <c r="B70" s="35">
        <v>11.3</v>
      </c>
      <c r="C70" s="36" t="s">
        <v>113</v>
      </c>
      <c r="D70" s="36" t="str">
        <f t="shared" si="3"/>
        <v>rokprognozy=2013 i lp=600</v>
      </c>
      <c r="E70" s="36" t="str">
        <f t="shared" si="15"/>
        <v>rokprognozy=2013 i lp=600</v>
      </c>
      <c r="F70" s="36" t="str">
        <f t="shared" si="15"/>
        <v>rokprognozy=2014 i lp=600</v>
      </c>
      <c r="G70" s="36" t="str">
        <f t="shared" si="15"/>
        <v>rokprognozy=2015 i lp=600</v>
      </c>
      <c r="H70" s="36" t="str">
        <f t="shared" si="15"/>
        <v>rokprognozy=2016 i lp=600</v>
      </c>
      <c r="I70" s="36" t="str">
        <f t="shared" si="15"/>
        <v>rokprognozy=2017 i lp=600</v>
      </c>
      <c r="J70" s="36" t="str">
        <f t="shared" si="15"/>
        <v>rokprognozy=2018 i lp=600</v>
      </c>
      <c r="K70" s="36" t="str">
        <f t="shared" si="15"/>
        <v>rokprognozy=2019 i lp=600</v>
      </c>
      <c r="L70" s="36" t="str">
        <f t="shared" si="15"/>
        <v>rokprognozy=2020 i lp=600</v>
      </c>
      <c r="M70" s="36" t="str">
        <f t="shared" si="15"/>
        <v>rokprognozy=2021 i lp=600</v>
      </c>
      <c r="N70" s="36" t="str">
        <f t="shared" si="13"/>
        <v>rokprognozy=2022 i lp=600</v>
      </c>
      <c r="O70" s="36" t="str">
        <f t="shared" si="13"/>
        <v>rokprognozy=2023 i lp=600</v>
      </c>
      <c r="P70" s="36" t="str">
        <f t="shared" si="13"/>
        <v>rokprognozy=2024 i lp=600</v>
      </c>
      <c r="Q70" s="36" t="str">
        <f t="shared" si="13"/>
        <v>rokprognozy=2025 i lp=600</v>
      </c>
      <c r="R70" s="36" t="str">
        <f t="shared" si="13"/>
        <v>rokprognozy=2026 i lp=600</v>
      </c>
      <c r="S70" s="36" t="str">
        <f t="shared" si="13"/>
        <v>rokprognozy=2027 i lp=600</v>
      </c>
      <c r="T70" s="36" t="str">
        <f t="shared" si="13"/>
        <v>rokprognozy=2028 i lp=600</v>
      </c>
      <c r="U70" s="36" t="str">
        <f t="shared" si="13"/>
        <v>rokprognozy=2029 i lp=600</v>
      </c>
      <c r="V70" s="36" t="str">
        <f t="shared" si="13"/>
        <v>rokprognozy=2030 i lp=600</v>
      </c>
      <c r="W70" s="36" t="str">
        <f t="shared" si="13"/>
        <v>rokprognozy=2031 i lp=600</v>
      </c>
      <c r="X70" s="36" t="str">
        <f t="shared" si="13"/>
        <v>rokprognozy=2032 i lp=600</v>
      </c>
      <c r="Y70" s="36" t="str">
        <f t="shared" si="13"/>
        <v>rokprognozy=2033 i lp=600</v>
      </c>
      <c r="Z70" s="36" t="str">
        <f t="shared" si="13"/>
        <v>rokprognozy=2034 i lp=600</v>
      </c>
      <c r="AA70" s="36" t="str">
        <f t="shared" si="13"/>
        <v>rokprognozy=2035 i lp=600</v>
      </c>
      <c r="AB70" s="36" t="str">
        <f t="shared" si="13"/>
        <v>rokprognozy=2036 i lp=600</v>
      </c>
      <c r="AC70" s="36" t="str">
        <f t="shared" si="13"/>
        <v>rokprognozy=2037 i lp=600</v>
      </c>
      <c r="AD70" s="36" t="str">
        <f t="shared" si="14"/>
        <v>rokprognozy=2038 i lp=600</v>
      </c>
      <c r="AE70" s="36" t="str">
        <f t="shared" si="14"/>
        <v>rokprognozy=2039 i lp=600</v>
      </c>
      <c r="AF70" s="36" t="str">
        <f t="shared" si="14"/>
        <v>rokprognozy=2040 i lp=600</v>
      </c>
      <c r="AG70" s="36" t="str">
        <f t="shared" si="14"/>
        <v>rokprognozy=2041 i lp=600</v>
      </c>
      <c r="AH70" s="36" t="str">
        <f t="shared" si="14"/>
        <v>rokprognozy=2042 i lp=600</v>
      </c>
    </row>
    <row r="71" spans="1:34" ht="11.25">
      <c r="A71" s="35">
        <v>610</v>
      </c>
      <c r="B71" s="35" t="s">
        <v>114</v>
      </c>
      <c r="C71" s="36" t="s">
        <v>115</v>
      </c>
      <c r="D71" s="36" t="str">
        <f t="shared" si="3"/>
        <v>rokprognozy=2013 i lp=610</v>
      </c>
      <c r="E71" s="36" t="str">
        <f t="shared" si="15"/>
        <v>rokprognozy=2013 i lp=610</v>
      </c>
      <c r="F71" s="36" t="str">
        <f t="shared" si="15"/>
        <v>rokprognozy=2014 i lp=610</v>
      </c>
      <c r="G71" s="36" t="str">
        <f t="shared" si="15"/>
        <v>rokprognozy=2015 i lp=610</v>
      </c>
      <c r="H71" s="36" t="str">
        <f t="shared" si="15"/>
        <v>rokprognozy=2016 i lp=610</v>
      </c>
      <c r="I71" s="36" t="str">
        <f t="shared" si="15"/>
        <v>rokprognozy=2017 i lp=610</v>
      </c>
      <c r="J71" s="36" t="str">
        <f t="shared" si="15"/>
        <v>rokprognozy=2018 i lp=610</v>
      </c>
      <c r="K71" s="36" t="str">
        <f t="shared" si="15"/>
        <v>rokprognozy=2019 i lp=610</v>
      </c>
      <c r="L71" s="36" t="str">
        <f t="shared" si="15"/>
        <v>rokprognozy=2020 i lp=610</v>
      </c>
      <c r="M71" s="36" t="str">
        <f t="shared" si="15"/>
        <v>rokprognozy=2021 i lp=610</v>
      </c>
      <c r="N71" s="36" t="str">
        <f t="shared" si="13"/>
        <v>rokprognozy=2022 i lp=610</v>
      </c>
      <c r="O71" s="36" t="str">
        <f t="shared" si="13"/>
        <v>rokprognozy=2023 i lp=610</v>
      </c>
      <c r="P71" s="36" t="str">
        <f t="shared" si="13"/>
        <v>rokprognozy=2024 i lp=610</v>
      </c>
      <c r="Q71" s="36" t="str">
        <f t="shared" si="13"/>
        <v>rokprognozy=2025 i lp=610</v>
      </c>
      <c r="R71" s="36" t="str">
        <f t="shared" si="13"/>
        <v>rokprognozy=2026 i lp=610</v>
      </c>
      <c r="S71" s="36" t="str">
        <f t="shared" si="13"/>
        <v>rokprognozy=2027 i lp=610</v>
      </c>
      <c r="T71" s="36" t="str">
        <f t="shared" si="13"/>
        <v>rokprognozy=2028 i lp=610</v>
      </c>
      <c r="U71" s="36" t="str">
        <f t="shared" si="13"/>
        <v>rokprognozy=2029 i lp=610</v>
      </c>
      <c r="V71" s="36" t="str">
        <f t="shared" si="13"/>
        <v>rokprognozy=2030 i lp=610</v>
      </c>
      <c r="W71" s="36" t="str">
        <f t="shared" si="13"/>
        <v>rokprognozy=2031 i lp=610</v>
      </c>
      <c r="X71" s="36" t="str">
        <f t="shared" si="13"/>
        <v>rokprognozy=2032 i lp=610</v>
      </c>
      <c r="Y71" s="36" t="str">
        <f t="shared" si="13"/>
        <v>rokprognozy=2033 i lp=610</v>
      </c>
      <c r="Z71" s="36" t="str">
        <f t="shared" si="13"/>
        <v>rokprognozy=2034 i lp=610</v>
      </c>
      <c r="AA71" s="36" t="str">
        <f t="shared" si="13"/>
        <v>rokprognozy=2035 i lp=610</v>
      </c>
      <c r="AB71" s="36" t="str">
        <f t="shared" si="13"/>
        <v>rokprognozy=2036 i lp=610</v>
      </c>
      <c r="AC71" s="36" t="str">
        <f t="shared" si="13"/>
        <v>rokprognozy=2037 i lp=610</v>
      </c>
      <c r="AD71" s="36" t="str">
        <f t="shared" si="14"/>
        <v>rokprognozy=2038 i lp=610</v>
      </c>
      <c r="AE71" s="36" t="str">
        <f t="shared" si="14"/>
        <v>rokprognozy=2039 i lp=610</v>
      </c>
      <c r="AF71" s="36" t="str">
        <f t="shared" si="14"/>
        <v>rokprognozy=2040 i lp=610</v>
      </c>
      <c r="AG71" s="36" t="str">
        <f t="shared" si="14"/>
        <v>rokprognozy=2041 i lp=610</v>
      </c>
      <c r="AH71" s="36" t="str">
        <f t="shared" si="14"/>
        <v>rokprognozy=2042 i lp=610</v>
      </c>
    </row>
    <row r="72" spans="1:34" ht="11.25">
      <c r="A72" s="35">
        <v>620</v>
      </c>
      <c r="B72" s="35" t="s">
        <v>116</v>
      </c>
      <c r="C72" s="36" t="s">
        <v>117</v>
      </c>
      <c r="D72" s="36" t="str">
        <f t="shared" si="3"/>
        <v>rokprognozy=2013 i lp=620</v>
      </c>
      <c r="E72" s="36" t="str">
        <f t="shared" si="15"/>
        <v>rokprognozy=2013 i lp=620</v>
      </c>
      <c r="F72" s="36" t="str">
        <f t="shared" si="15"/>
        <v>rokprognozy=2014 i lp=620</v>
      </c>
      <c r="G72" s="36" t="str">
        <f t="shared" si="15"/>
        <v>rokprognozy=2015 i lp=620</v>
      </c>
      <c r="H72" s="36" t="str">
        <f t="shared" si="15"/>
        <v>rokprognozy=2016 i lp=620</v>
      </c>
      <c r="I72" s="36" t="str">
        <f t="shared" si="15"/>
        <v>rokprognozy=2017 i lp=620</v>
      </c>
      <c r="J72" s="36" t="str">
        <f t="shared" si="15"/>
        <v>rokprognozy=2018 i lp=620</v>
      </c>
      <c r="K72" s="36" t="str">
        <f t="shared" si="15"/>
        <v>rokprognozy=2019 i lp=620</v>
      </c>
      <c r="L72" s="36" t="str">
        <f t="shared" si="15"/>
        <v>rokprognozy=2020 i lp=620</v>
      </c>
      <c r="M72" s="36" t="str">
        <f t="shared" si="15"/>
        <v>rokprognozy=2021 i lp=620</v>
      </c>
      <c r="N72" s="36" t="str">
        <f t="shared" si="15"/>
        <v>rokprognozy=2022 i lp=620</v>
      </c>
      <c r="O72" s="36" t="str">
        <f t="shared" si="15"/>
        <v>rokprognozy=2023 i lp=620</v>
      </c>
      <c r="P72" s="36" t="str">
        <f t="shared" si="15"/>
        <v>rokprognozy=2024 i lp=620</v>
      </c>
      <c r="Q72" s="36" t="str">
        <f t="shared" si="15"/>
        <v>rokprognozy=2025 i lp=620</v>
      </c>
      <c r="R72" s="36" t="str">
        <f t="shared" si="15"/>
        <v>rokprognozy=2026 i lp=620</v>
      </c>
      <c r="S72" s="36" t="str">
        <f t="shared" si="15"/>
        <v>rokprognozy=2027 i lp=620</v>
      </c>
      <c r="T72" s="36" t="str">
        <f t="shared" si="15"/>
        <v>rokprognozy=2028 i lp=620</v>
      </c>
      <c r="U72" s="36" t="str">
        <f aca="true" t="shared" si="16" ref="N72:AC87">+"rokprognozy="&amp;U$9&amp;" i lp="&amp;$A72</f>
        <v>rokprognozy=2029 i lp=620</v>
      </c>
      <c r="V72" s="36" t="str">
        <f t="shared" si="16"/>
        <v>rokprognozy=2030 i lp=620</v>
      </c>
      <c r="W72" s="36" t="str">
        <f t="shared" si="16"/>
        <v>rokprognozy=2031 i lp=620</v>
      </c>
      <c r="X72" s="36" t="str">
        <f t="shared" si="16"/>
        <v>rokprognozy=2032 i lp=620</v>
      </c>
      <c r="Y72" s="36" t="str">
        <f t="shared" si="16"/>
        <v>rokprognozy=2033 i lp=620</v>
      </c>
      <c r="Z72" s="36" t="str">
        <f t="shared" si="16"/>
        <v>rokprognozy=2034 i lp=620</v>
      </c>
      <c r="AA72" s="36" t="str">
        <f t="shared" si="16"/>
        <v>rokprognozy=2035 i lp=620</v>
      </c>
      <c r="AB72" s="36" t="str">
        <f t="shared" si="16"/>
        <v>rokprognozy=2036 i lp=620</v>
      </c>
      <c r="AC72" s="36" t="str">
        <f t="shared" si="16"/>
        <v>rokprognozy=2037 i lp=620</v>
      </c>
      <c r="AD72" s="36" t="str">
        <f t="shared" si="14"/>
        <v>rokprognozy=2038 i lp=620</v>
      </c>
      <c r="AE72" s="36" t="str">
        <f t="shared" si="14"/>
        <v>rokprognozy=2039 i lp=620</v>
      </c>
      <c r="AF72" s="36" t="str">
        <f t="shared" si="14"/>
        <v>rokprognozy=2040 i lp=620</v>
      </c>
      <c r="AG72" s="36" t="str">
        <f t="shared" si="14"/>
        <v>rokprognozy=2041 i lp=620</v>
      </c>
      <c r="AH72" s="36" t="str">
        <f t="shared" si="14"/>
        <v>rokprognozy=2042 i lp=620</v>
      </c>
    </row>
    <row r="73" spans="1:34" ht="11.25">
      <c r="A73" s="35">
        <v>630</v>
      </c>
      <c r="B73" s="35">
        <v>11.4</v>
      </c>
      <c r="C73" s="36" t="s">
        <v>118</v>
      </c>
      <c r="D73" s="36" t="str">
        <f t="shared" si="3"/>
        <v>rokprognozy=2013 i lp=630</v>
      </c>
      <c r="E73" s="36" t="str">
        <f t="shared" si="15"/>
        <v>rokprognozy=2013 i lp=630</v>
      </c>
      <c r="F73" s="36" t="str">
        <f t="shared" si="15"/>
        <v>rokprognozy=2014 i lp=630</v>
      </c>
      <c r="G73" s="36" t="str">
        <f t="shared" si="15"/>
        <v>rokprognozy=2015 i lp=630</v>
      </c>
      <c r="H73" s="36" t="str">
        <f t="shared" si="15"/>
        <v>rokprognozy=2016 i lp=630</v>
      </c>
      <c r="I73" s="36" t="str">
        <f t="shared" si="15"/>
        <v>rokprognozy=2017 i lp=630</v>
      </c>
      <c r="J73" s="36" t="str">
        <f t="shared" si="15"/>
        <v>rokprognozy=2018 i lp=630</v>
      </c>
      <c r="K73" s="36" t="str">
        <f t="shared" si="15"/>
        <v>rokprognozy=2019 i lp=630</v>
      </c>
      <c r="L73" s="36" t="str">
        <f t="shared" si="15"/>
        <v>rokprognozy=2020 i lp=630</v>
      </c>
      <c r="M73" s="36" t="str">
        <f t="shared" si="15"/>
        <v>rokprognozy=2021 i lp=630</v>
      </c>
      <c r="N73" s="36" t="str">
        <f t="shared" si="16"/>
        <v>rokprognozy=2022 i lp=630</v>
      </c>
      <c r="O73" s="36" t="str">
        <f t="shared" si="16"/>
        <v>rokprognozy=2023 i lp=630</v>
      </c>
      <c r="P73" s="36" t="str">
        <f t="shared" si="16"/>
        <v>rokprognozy=2024 i lp=630</v>
      </c>
      <c r="Q73" s="36" t="str">
        <f t="shared" si="16"/>
        <v>rokprognozy=2025 i lp=630</v>
      </c>
      <c r="R73" s="36" t="str">
        <f t="shared" si="16"/>
        <v>rokprognozy=2026 i lp=630</v>
      </c>
      <c r="S73" s="36" t="str">
        <f t="shared" si="16"/>
        <v>rokprognozy=2027 i lp=630</v>
      </c>
      <c r="T73" s="36" t="str">
        <f t="shared" si="16"/>
        <v>rokprognozy=2028 i lp=630</v>
      </c>
      <c r="U73" s="36" t="str">
        <f t="shared" si="16"/>
        <v>rokprognozy=2029 i lp=630</v>
      </c>
      <c r="V73" s="36" t="str">
        <f t="shared" si="16"/>
        <v>rokprognozy=2030 i lp=630</v>
      </c>
      <c r="W73" s="36" t="str">
        <f t="shared" si="16"/>
        <v>rokprognozy=2031 i lp=630</v>
      </c>
      <c r="X73" s="36" t="str">
        <f t="shared" si="16"/>
        <v>rokprognozy=2032 i lp=630</v>
      </c>
      <c r="Y73" s="36" t="str">
        <f t="shared" si="16"/>
        <v>rokprognozy=2033 i lp=630</v>
      </c>
      <c r="Z73" s="36" t="str">
        <f t="shared" si="16"/>
        <v>rokprognozy=2034 i lp=630</v>
      </c>
      <c r="AA73" s="36" t="str">
        <f t="shared" si="16"/>
        <v>rokprognozy=2035 i lp=630</v>
      </c>
      <c r="AB73" s="36" t="str">
        <f t="shared" si="16"/>
        <v>rokprognozy=2036 i lp=630</v>
      </c>
      <c r="AC73" s="36" t="str">
        <f t="shared" si="16"/>
        <v>rokprognozy=2037 i lp=630</v>
      </c>
      <c r="AD73" s="36" t="str">
        <f t="shared" si="14"/>
        <v>rokprognozy=2038 i lp=630</v>
      </c>
      <c r="AE73" s="36" t="str">
        <f t="shared" si="14"/>
        <v>rokprognozy=2039 i lp=630</v>
      </c>
      <c r="AF73" s="36" t="str">
        <f t="shared" si="14"/>
        <v>rokprognozy=2040 i lp=630</v>
      </c>
      <c r="AG73" s="36" t="str">
        <f t="shared" si="14"/>
        <v>rokprognozy=2041 i lp=630</v>
      </c>
      <c r="AH73" s="36" t="str">
        <f t="shared" si="14"/>
        <v>rokprognozy=2042 i lp=630</v>
      </c>
    </row>
    <row r="74" spans="1:34" ht="11.25">
      <c r="A74" s="35">
        <v>640</v>
      </c>
      <c r="B74" s="35">
        <v>11.5</v>
      </c>
      <c r="C74" s="36" t="s">
        <v>119</v>
      </c>
      <c r="D74" s="36" t="str">
        <f t="shared" si="3"/>
        <v>rokprognozy=2013 i lp=640</v>
      </c>
      <c r="E74" s="36" t="str">
        <f t="shared" si="15"/>
        <v>rokprognozy=2013 i lp=640</v>
      </c>
      <c r="F74" s="36" t="str">
        <f t="shared" si="15"/>
        <v>rokprognozy=2014 i lp=640</v>
      </c>
      <c r="G74" s="36" t="str">
        <f t="shared" si="15"/>
        <v>rokprognozy=2015 i lp=640</v>
      </c>
      <c r="H74" s="36" t="str">
        <f t="shared" si="15"/>
        <v>rokprognozy=2016 i lp=640</v>
      </c>
      <c r="I74" s="36" t="str">
        <f t="shared" si="15"/>
        <v>rokprognozy=2017 i lp=640</v>
      </c>
      <c r="J74" s="36" t="str">
        <f t="shared" si="15"/>
        <v>rokprognozy=2018 i lp=640</v>
      </c>
      <c r="K74" s="36" t="str">
        <f t="shared" si="15"/>
        <v>rokprognozy=2019 i lp=640</v>
      </c>
      <c r="L74" s="36" t="str">
        <f t="shared" si="15"/>
        <v>rokprognozy=2020 i lp=640</v>
      </c>
      <c r="M74" s="36" t="str">
        <f t="shared" si="15"/>
        <v>rokprognozy=2021 i lp=640</v>
      </c>
      <c r="N74" s="36" t="str">
        <f t="shared" si="16"/>
        <v>rokprognozy=2022 i lp=640</v>
      </c>
      <c r="O74" s="36" t="str">
        <f t="shared" si="16"/>
        <v>rokprognozy=2023 i lp=640</v>
      </c>
      <c r="P74" s="36" t="str">
        <f t="shared" si="16"/>
        <v>rokprognozy=2024 i lp=640</v>
      </c>
      <c r="Q74" s="36" t="str">
        <f t="shared" si="16"/>
        <v>rokprognozy=2025 i lp=640</v>
      </c>
      <c r="R74" s="36" t="str">
        <f t="shared" si="16"/>
        <v>rokprognozy=2026 i lp=640</v>
      </c>
      <c r="S74" s="36" t="str">
        <f t="shared" si="16"/>
        <v>rokprognozy=2027 i lp=640</v>
      </c>
      <c r="T74" s="36" t="str">
        <f t="shared" si="16"/>
        <v>rokprognozy=2028 i lp=640</v>
      </c>
      <c r="U74" s="36" t="str">
        <f t="shared" si="16"/>
        <v>rokprognozy=2029 i lp=640</v>
      </c>
      <c r="V74" s="36" t="str">
        <f t="shared" si="16"/>
        <v>rokprognozy=2030 i lp=640</v>
      </c>
      <c r="W74" s="36" t="str">
        <f t="shared" si="16"/>
        <v>rokprognozy=2031 i lp=640</v>
      </c>
      <c r="X74" s="36" t="str">
        <f t="shared" si="16"/>
        <v>rokprognozy=2032 i lp=640</v>
      </c>
      <c r="Y74" s="36" t="str">
        <f t="shared" si="16"/>
        <v>rokprognozy=2033 i lp=640</v>
      </c>
      <c r="Z74" s="36" t="str">
        <f t="shared" si="16"/>
        <v>rokprognozy=2034 i lp=640</v>
      </c>
      <c r="AA74" s="36" t="str">
        <f t="shared" si="16"/>
        <v>rokprognozy=2035 i lp=640</v>
      </c>
      <c r="AB74" s="36" t="str">
        <f t="shared" si="16"/>
        <v>rokprognozy=2036 i lp=640</v>
      </c>
      <c r="AC74" s="36" t="str">
        <f t="shared" si="16"/>
        <v>rokprognozy=2037 i lp=640</v>
      </c>
      <c r="AD74" s="36" t="str">
        <f t="shared" si="14"/>
        <v>rokprognozy=2038 i lp=640</v>
      </c>
      <c r="AE74" s="36" t="str">
        <f t="shared" si="14"/>
        <v>rokprognozy=2039 i lp=640</v>
      </c>
      <c r="AF74" s="36" t="str">
        <f t="shared" si="14"/>
        <v>rokprognozy=2040 i lp=640</v>
      </c>
      <c r="AG74" s="36" t="str">
        <f t="shared" si="14"/>
        <v>rokprognozy=2041 i lp=640</v>
      </c>
      <c r="AH74" s="36" t="str">
        <f t="shared" si="14"/>
        <v>rokprognozy=2042 i lp=640</v>
      </c>
    </row>
    <row r="75" spans="1:34" ht="11.25">
      <c r="A75" s="35">
        <v>650</v>
      </c>
      <c r="B75" s="35">
        <v>11.6</v>
      </c>
      <c r="C75" s="36" t="s">
        <v>120</v>
      </c>
      <c r="D75" s="36" t="str">
        <f t="shared" si="3"/>
        <v>rokprognozy=2013 i lp=650</v>
      </c>
      <c r="E75" s="36" t="str">
        <f t="shared" si="15"/>
        <v>rokprognozy=2013 i lp=650</v>
      </c>
      <c r="F75" s="36" t="str">
        <f t="shared" si="15"/>
        <v>rokprognozy=2014 i lp=650</v>
      </c>
      <c r="G75" s="36" t="str">
        <f t="shared" si="15"/>
        <v>rokprognozy=2015 i lp=650</v>
      </c>
      <c r="H75" s="36" t="str">
        <f t="shared" si="15"/>
        <v>rokprognozy=2016 i lp=650</v>
      </c>
      <c r="I75" s="36" t="str">
        <f t="shared" si="15"/>
        <v>rokprognozy=2017 i lp=650</v>
      </c>
      <c r="J75" s="36" t="str">
        <f t="shared" si="15"/>
        <v>rokprognozy=2018 i lp=650</v>
      </c>
      <c r="K75" s="36" t="str">
        <f t="shared" si="15"/>
        <v>rokprognozy=2019 i lp=650</v>
      </c>
      <c r="L75" s="36" t="str">
        <f t="shared" si="15"/>
        <v>rokprognozy=2020 i lp=650</v>
      </c>
      <c r="M75" s="36" t="str">
        <f t="shared" si="15"/>
        <v>rokprognozy=2021 i lp=650</v>
      </c>
      <c r="N75" s="36" t="str">
        <f t="shared" si="16"/>
        <v>rokprognozy=2022 i lp=650</v>
      </c>
      <c r="O75" s="36" t="str">
        <f t="shared" si="16"/>
        <v>rokprognozy=2023 i lp=650</v>
      </c>
      <c r="P75" s="36" t="str">
        <f t="shared" si="16"/>
        <v>rokprognozy=2024 i lp=650</v>
      </c>
      <c r="Q75" s="36" t="str">
        <f t="shared" si="16"/>
        <v>rokprognozy=2025 i lp=650</v>
      </c>
      <c r="R75" s="36" t="str">
        <f t="shared" si="16"/>
        <v>rokprognozy=2026 i lp=650</v>
      </c>
      <c r="S75" s="36" t="str">
        <f t="shared" si="16"/>
        <v>rokprognozy=2027 i lp=650</v>
      </c>
      <c r="T75" s="36" t="str">
        <f t="shared" si="16"/>
        <v>rokprognozy=2028 i lp=650</v>
      </c>
      <c r="U75" s="36" t="str">
        <f t="shared" si="16"/>
        <v>rokprognozy=2029 i lp=650</v>
      </c>
      <c r="V75" s="36" t="str">
        <f t="shared" si="16"/>
        <v>rokprognozy=2030 i lp=650</v>
      </c>
      <c r="W75" s="36" t="str">
        <f t="shared" si="16"/>
        <v>rokprognozy=2031 i lp=650</v>
      </c>
      <c r="X75" s="36" t="str">
        <f t="shared" si="16"/>
        <v>rokprognozy=2032 i lp=650</v>
      </c>
      <c r="Y75" s="36" t="str">
        <f t="shared" si="16"/>
        <v>rokprognozy=2033 i lp=650</v>
      </c>
      <c r="Z75" s="36" t="str">
        <f t="shared" si="16"/>
        <v>rokprognozy=2034 i lp=650</v>
      </c>
      <c r="AA75" s="36" t="str">
        <f t="shared" si="16"/>
        <v>rokprognozy=2035 i lp=650</v>
      </c>
      <c r="AB75" s="36" t="str">
        <f t="shared" si="16"/>
        <v>rokprognozy=2036 i lp=650</v>
      </c>
      <c r="AC75" s="36" t="str">
        <f t="shared" si="16"/>
        <v>rokprognozy=2037 i lp=650</v>
      </c>
      <c r="AD75" s="36" t="str">
        <f t="shared" si="14"/>
        <v>rokprognozy=2038 i lp=650</v>
      </c>
      <c r="AE75" s="36" t="str">
        <f t="shared" si="14"/>
        <v>rokprognozy=2039 i lp=650</v>
      </c>
      <c r="AF75" s="36" t="str">
        <f t="shared" si="14"/>
        <v>rokprognozy=2040 i lp=650</v>
      </c>
      <c r="AG75" s="36" t="str">
        <f t="shared" si="14"/>
        <v>rokprognozy=2041 i lp=650</v>
      </c>
      <c r="AH75" s="36" t="str">
        <f t="shared" si="14"/>
        <v>rokprognozy=2042 i lp=650</v>
      </c>
    </row>
    <row r="76" spans="1:34" ht="11.25">
      <c r="A76" s="35">
        <v>660</v>
      </c>
      <c r="B76" s="35">
        <v>12</v>
      </c>
      <c r="C76" s="36" t="s">
        <v>121</v>
      </c>
      <c r="D76" s="36" t="str">
        <f aca="true" t="shared" si="17" ref="D76:D104">+"rokprognozy="&amp;D$9&amp;" i lp="&amp;$A76</f>
        <v>rokprognozy=2013 i lp=660</v>
      </c>
      <c r="E76" s="36" t="str">
        <f t="shared" si="15"/>
        <v>rokprognozy=2013 i lp=660</v>
      </c>
      <c r="F76" s="36" t="str">
        <f t="shared" si="15"/>
        <v>rokprognozy=2014 i lp=660</v>
      </c>
      <c r="G76" s="36" t="str">
        <f t="shared" si="15"/>
        <v>rokprognozy=2015 i lp=660</v>
      </c>
      <c r="H76" s="36" t="str">
        <f t="shared" si="15"/>
        <v>rokprognozy=2016 i lp=660</v>
      </c>
      <c r="I76" s="36" t="str">
        <f t="shared" si="15"/>
        <v>rokprognozy=2017 i lp=660</v>
      </c>
      <c r="J76" s="36" t="str">
        <f t="shared" si="15"/>
        <v>rokprognozy=2018 i lp=660</v>
      </c>
      <c r="K76" s="36" t="str">
        <f t="shared" si="15"/>
        <v>rokprognozy=2019 i lp=660</v>
      </c>
      <c r="L76" s="36" t="str">
        <f t="shared" si="15"/>
        <v>rokprognozy=2020 i lp=660</v>
      </c>
      <c r="M76" s="36" t="str">
        <f t="shared" si="15"/>
        <v>rokprognozy=2021 i lp=660</v>
      </c>
      <c r="N76" s="36" t="str">
        <f t="shared" si="16"/>
        <v>rokprognozy=2022 i lp=660</v>
      </c>
      <c r="O76" s="36" t="str">
        <f t="shared" si="16"/>
        <v>rokprognozy=2023 i lp=660</v>
      </c>
      <c r="P76" s="36" t="str">
        <f t="shared" si="16"/>
        <v>rokprognozy=2024 i lp=660</v>
      </c>
      <c r="Q76" s="36" t="str">
        <f t="shared" si="16"/>
        <v>rokprognozy=2025 i lp=660</v>
      </c>
      <c r="R76" s="36" t="str">
        <f t="shared" si="16"/>
        <v>rokprognozy=2026 i lp=660</v>
      </c>
      <c r="S76" s="36" t="str">
        <f t="shared" si="16"/>
        <v>rokprognozy=2027 i lp=660</v>
      </c>
      <c r="T76" s="36" t="str">
        <f t="shared" si="16"/>
        <v>rokprognozy=2028 i lp=660</v>
      </c>
      <c r="U76" s="36" t="str">
        <f t="shared" si="16"/>
        <v>rokprognozy=2029 i lp=660</v>
      </c>
      <c r="V76" s="36" t="str">
        <f t="shared" si="16"/>
        <v>rokprognozy=2030 i lp=660</v>
      </c>
      <c r="W76" s="36" t="str">
        <f t="shared" si="16"/>
        <v>rokprognozy=2031 i lp=660</v>
      </c>
      <c r="X76" s="36" t="str">
        <f t="shared" si="16"/>
        <v>rokprognozy=2032 i lp=660</v>
      </c>
      <c r="Y76" s="36" t="str">
        <f t="shared" si="16"/>
        <v>rokprognozy=2033 i lp=660</v>
      </c>
      <c r="Z76" s="36" t="str">
        <f t="shared" si="16"/>
        <v>rokprognozy=2034 i lp=660</v>
      </c>
      <c r="AA76" s="36" t="str">
        <f t="shared" si="16"/>
        <v>rokprognozy=2035 i lp=660</v>
      </c>
      <c r="AB76" s="36" t="str">
        <f t="shared" si="16"/>
        <v>rokprognozy=2036 i lp=660</v>
      </c>
      <c r="AC76" s="36" t="str">
        <f t="shared" si="16"/>
        <v>rokprognozy=2037 i lp=660</v>
      </c>
      <c r="AD76" s="36" t="str">
        <f aca="true" t="shared" si="18" ref="AD76:AH91">+"rokprognozy="&amp;AD$9&amp;" i lp="&amp;$A76</f>
        <v>rokprognozy=2038 i lp=660</v>
      </c>
      <c r="AE76" s="36" t="str">
        <f t="shared" si="18"/>
        <v>rokprognozy=2039 i lp=660</v>
      </c>
      <c r="AF76" s="36" t="str">
        <f t="shared" si="18"/>
        <v>rokprognozy=2040 i lp=660</v>
      </c>
      <c r="AG76" s="36" t="str">
        <f t="shared" si="18"/>
        <v>rokprognozy=2041 i lp=660</v>
      </c>
      <c r="AH76" s="36" t="str">
        <f t="shared" si="18"/>
        <v>rokprognozy=2042 i lp=660</v>
      </c>
    </row>
    <row r="77" spans="1:34" ht="11.25">
      <c r="A77" s="35">
        <v>670</v>
      </c>
      <c r="B77" s="35">
        <v>12.1</v>
      </c>
      <c r="C77" s="36" t="s">
        <v>122</v>
      </c>
      <c r="D77" s="36" t="str">
        <f t="shared" si="17"/>
        <v>rokprognozy=2013 i lp=670</v>
      </c>
      <c r="E77" s="36" t="str">
        <f t="shared" si="15"/>
        <v>rokprognozy=2013 i lp=670</v>
      </c>
      <c r="F77" s="36" t="str">
        <f t="shared" si="15"/>
        <v>rokprognozy=2014 i lp=670</v>
      </c>
      <c r="G77" s="36" t="str">
        <f t="shared" si="15"/>
        <v>rokprognozy=2015 i lp=670</v>
      </c>
      <c r="H77" s="36" t="str">
        <f t="shared" si="15"/>
        <v>rokprognozy=2016 i lp=670</v>
      </c>
      <c r="I77" s="36" t="str">
        <f t="shared" si="15"/>
        <v>rokprognozy=2017 i lp=670</v>
      </c>
      <c r="J77" s="36" t="str">
        <f t="shared" si="15"/>
        <v>rokprognozy=2018 i lp=670</v>
      </c>
      <c r="K77" s="36" t="str">
        <f t="shared" si="15"/>
        <v>rokprognozy=2019 i lp=670</v>
      </c>
      <c r="L77" s="36" t="str">
        <f t="shared" si="15"/>
        <v>rokprognozy=2020 i lp=670</v>
      </c>
      <c r="M77" s="36" t="str">
        <f t="shared" si="15"/>
        <v>rokprognozy=2021 i lp=670</v>
      </c>
      <c r="N77" s="36" t="str">
        <f t="shared" si="16"/>
        <v>rokprognozy=2022 i lp=670</v>
      </c>
      <c r="O77" s="36" t="str">
        <f t="shared" si="16"/>
        <v>rokprognozy=2023 i lp=670</v>
      </c>
      <c r="P77" s="36" t="str">
        <f t="shared" si="16"/>
        <v>rokprognozy=2024 i lp=670</v>
      </c>
      <c r="Q77" s="36" t="str">
        <f t="shared" si="16"/>
        <v>rokprognozy=2025 i lp=670</v>
      </c>
      <c r="R77" s="36" t="str">
        <f t="shared" si="16"/>
        <v>rokprognozy=2026 i lp=670</v>
      </c>
      <c r="S77" s="36" t="str">
        <f t="shared" si="16"/>
        <v>rokprognozy=2027 i lp=670</v>
      </c>
      <c r="T77" s="36" t="str">
        <f t="shared" si="16"/>
        <v>rokprognozy=2028 i lp=670</v>
      </c>
      <c r="U77" s="36" t="str">
        <f t="shared" si="16"/>
        <v>rokprognozy=2029 i lp=670</v>
      </c>
      <c r="V77" s="36" t="str">
        <f t="shared" si="16"/>
        <v>rokprognozy=2030 i lp=670</v>
      </c>
      <c r="W77" s="36" t="str">
        <f t="shared" si="16"/>
        <v>rokprognozy=2031 i lp=670</v>
      </c>
      <c r="X77" s="36" t="str">
        <f t="shared" si="16"/>
        <v>rokprognozy=2032 i lp=670</v>
      </c>
      <c r="Y77" s="36" t="str">
        <f t="shared" si="16"/>
        <v>rokprognozy=2033 i lp=670</v>
      </c>
      <c r="Z77" s="36" t="str">
        <f t="shared" si="16"/>
        <v>rokprognozy=2034 i lp=670</v>
      </c>
      <c r="AA77" s="36" t="str">
        <f t="shared" si="16"/>
        <v>rokprognozy=2035 i lp=670</v>
      </c>
      <c r="AB77" s="36" t="str">
        <f t="shared" si="16"/>
        <v>rokprognozy=2036 i lp=670</v>
      </c>
      <c r="AC77" s="36" t="str">
        <f t="shared" si="16"/>
        <v>rokprognozy=2037 i lp=670</v>
      </c>
      <c r="AD77" s="36" t="str">
        <f t="shared" si="18"/>
        <v>rokprognozy=2038 i lp=670</v>
      </c>
      <c r="AE77" s="36" t="str">
        <f t="shared" si="18"/>
        <v>rokprognozy=2039 i lp=670</v>
      </c>
      <c r="AF77" s="36" t="str">
        <f t="shared" si="18"/>
        <v>rokprognozy=2040 i lp=670</v>
      </c>
      <c r="AG77" s="36" t="str">
        <f t="shared" si="18"/>
        <v>rokprognozy=2041 i lp=670</v>
      </c>
      <c r="AH77" s="36" t="str">
        <f t="shared" si="18"/>
        <v>rokprognozy=2042 i lp=670</v>
      </c>
    </row>
    <row r="78" spans="1:34" ht="11.25">
      <c r="A78" s="35">
        <v>680</v>
      </c>
      <c r="B78" s="35" t="s">
        <v>123</v>
      </c>
      <c r="C78" s="36" t="s">
        <v>124</v>
      </c>
      <c r="D78" s="36" t="str">
        <f t="shared" si="17"/>
        <v>rokprognozy=2013 i lp=680</v>
      </c>
      <c r="E78" s="36" t="str">
        <f t="shared" si="15"/>
        <v>rokprognozy=2013 i lp=680</v>
      </c>
      <c r="F78" s="36" t="str">
        <f t="shared" si="15"/>
        <v>rokprognozy=2014 i lp=680</v>
      </c>
      <c r="G78" s="36" t="str">
        <f t="shared" si="15"/>
        <v>rokprognozy=2015 i lp=680</v>
      </c>
      <c r="H78" s="36" t="str">
        <f t="shared" si="15"/>
        <v>rokprognozy=2016 i lp=680</v>
      </c>
      <c r="I78" s="36" t="str">
        <f t="shared" si="15"/>
        <v>rokprognozy=2017 i lp=680</v>
      </c>
      <c r="J78" s="36" t="str">
        <f t="shared" si="15"/>
        <v>rokprognozy=2018 i lp=680</v>
      </c>
      <c r="K78" s="36" t="str">
        <f t="shared" si="15"/>
        <v>rokprognozy=2019 i lp=680</v>
      </c>
      <c r="L78" s="36" t="str">
        <f t="shared" si="15"/>
        <v>rokprognozy=2020 i lp=680</v>
      </c>
      <c r="M78" s="36" t="str">
        <f t="shared" si="15"/>
        <v>rokprognozy=2021 i lp=680</v>
      </c>
      <c r="N78" s="36" t="str">
        <f t="shared" si="16"/>
        <v>rokprognozy=2022 i lp=680</v>
      </c>
      <c r="O78" s="36" t="str">
        <f t="shared" si="16"/>
        <v>rokprognozy=2023 i lp=680</v>
      </c>
      <c r="P78" s="36" t="str">
        <f t="shared" si="16"/>
        <v>rokprognozy=2024 i lp=680</v>
      </c>
      <c r="Q78" s="36" t="str">
        <f t="shared" si="16"/>
        <v>rokprognozy=2025 i lp=680</v>
      </c>
      <c r="R78" s="36" t="str">
        <f t="shared" si="16"/>
        <v>rokprognozy=2026 i lp=680</v>
      </c>
      <c r="S78" s="36" t="str">
        <f t="shared" si="16"/>
        <v>rokprognozy=2027 i lp=680</v>
      </c>
      <c r="T78" s="36" t="str">
        <f t="shared" si="16"/>
        <v>rokprognozy=2028 i lp=680</v>
      </c>
      <c r="U78" s="36" t="str">
        <f t="shared" si="16"/>
        <v>rokprognozy=2029 i lp=680</v>
      </c>
      <c r="V78" s="36" t="str">
        <f t="shared" si="16"/>
        <v>rokprognozy=2030 i lp=680</v>
      </c>
      <c r="W78" s="36" t="str">
        <f t="shared" si="16"/>
        <v>rokprognozy=2031 i lp=680</v>
      </c>
      <c r="X78" s="36" t="str">
        <f t="shared" si="16"/>
        <v>rokprognozy=2032 i lp=680</v>
      </c>
      <c r="Y78" s="36" t="str">
        <f t="shared" si="16"/>
        <v>rokprognozy=2033 i lp=680</v>
      </c>
      <c r="Z78" s="36" t="str">
        <f t="shared" si="16"/>
        <v>rokprognozy=2034 i lp=680</v>
      </c>
      <c r="AA78" s="36" t="str">
        <f t="shared" si="16"/>
        <v>rokprognozy=2035 i lp=680</v>
      </c>
      <c r="AB78" s="36" t="str">
        <f t="shared" si="16"/>
        <v>rokprognozy=2036 i lp=680</v>
      </c>
      <c r="AC78" s="36" t="str">
        <f t="shared" si="16"/>
        <v>rokprognozy=2037 i lp=680</v>
      </c>
      <c r="AD78" s="36" t="str">
        <f t="shared" si="18"/>
        <v>rokprognozy=2038 i lp=680</v>
      </c>
      <c r="AE78" s="36" t="str">
        <f t="shared" si="18"/>
        <v>rokprognozy=2039 i lp=680</v>
      </c>
      <c r="AF78" s="36" t="str">
        <f t="shared" si="18"/>
        <v>rokprognozy=2040 i lp=680</v>
      </c>
      <c r="AG78" s="36" t="str">
        <f t="shared" si="18"/>
        <v>rokprognozy=2041 i lp=680</v>
      </c>
      <c r="AH78" s="36" t="str">
        <f t="shared" si="18"/>
        <v>rokprognozy=2042 i lp=680</v>
      </c>
    </row>
    <row r="79" spans="1:34" ht="11.25">
      <c r="A79" s="35">
        <v>690</v>
      </c>
      <c r="B79" s="35" t="s">
        <v>125</v>
      </c>
      <c r="C79" s="36" t="s">
        <v>126</v>
      </c>
      <c r="D79" s="36" t="str">
        <f t="shared" si="17"/>
        <v>rokprognozy=2013 i lp=690</v>
      </c>
      <c r="E79" s="36" t="str">
        <f t="shared" si="15"/>
        <v>rokprognozy=2013 i lp=690</v>
      </c>
      <c r="F79" s="36" t="str">
        <f t="shared" si="15"/>
        <v>rokprognozy=2014 i lp=690</v>
      </c>
      <c r="G79" s="36" t="str">
        <f t="shared" si="15"/>
        <v>rokprognozy=2015 i lp=690</v>
      </c>
      <c r="H79" s="36" t="str">
        <f t="shared" si="15"/>
        <v>rokprognozy=2016 i lp=690</v>
      </c>
      <c r="I79" s="36" t="str">
        <f t="shared" si="15"/>
        <v>rokprognozy=2017 i lp=690</v>
      </c>
      <c r="J79" s="36" t="str">
        <f t="shared" si="15"/>
        <v>rokprognozy=2018 i lp=690</v>
      </c>
      <c r="K79" s="36" t="str">
        <f t="shared" si="15"/>
        <v>rokprognozy=2019 i lp=690</v>
      </c>
      <c r="L79" s="36" t="str">
        <f t="shared" si="15"/>
        <v>rokprognozy=2020 i lp=690</v>
      </c>
      <c r="M79" s="36" t="str">
        <f t="shared" si="15"/>
        <v>rokprognozy=2021 i lp=690</v>
      </c>
      <c r="N79" s="36" t="str">
        <f t="shared" si="16"/>
        <v>rokprognozy=2022 i lp=690</v>
      </c>
      <c r="O79" s="36" t="str">
        <f t="shared" si="16"/>
        <v>rokprognozy=2023 i lp=690</v>
      </c>
      <c r="P79" s="36" t="str">
        <f t="shared" si="16"/>
        <v>rokprognozy=2024 i lp=690</v>
      </c>
      <c r="Q79" s="36" t="str">
        <f t="shared" si="16"/>
        <v>rokprognozy=2025 i lp=690</v>
      </c>
      <c r="R79" s="36" t="str">
        <f t="shared" si="16"/>
        <v>rokprognozy=2026 i lp=690</v>
      </c>
      <c r="S79" s="36" t="str">
        <f t="shared" si="16"/>
        <v>rokprognozy=2027 i lp=690</v>
      </c>
      <c r="T79" s="36" t="str">
        <f t="shared" si="16"/>
        <v>rokprognozy=2028 i lp=690</v>
      </c>
      <c r="U79" s="36" t="str">
        <f t="shared" si="16"/>
        <v>rokprognozy=2029 i lp=690</v>
      </c>
      <c r="V79" s="36" t="str">
        <f t="shared" si="16"/>
        <v>rokprognozy=2030 i lp=690</v>
      </c>
      <c r="W79" s="36" t="str">
        <f t="shared" si="16"/>
        <v>rokprognozy=2031 i lp=690</v>
      </c>
      <c r="X79" s="36" t="str">
        <f t="shared" si="16"/>
        <v>rokprognozy=2032 i lp=690</v>
      </c>
      <c r="Y79" s="36" t="str">
        <f t="shared" si="16"/>
        <v>rokprognozy=2033 i lp=690</v>
      </c>
      <c r="Z79" s="36" t="str">
        <f t="shared" si="16"/>
        <v>rokprognozy=2034 i lp=690</v>
      </c>
      <c r="AA79" s="36" t="str">
        <f t="shared" si="16"/>
        <v>rokprognozy=2035 i lp=690</v>
      </c>
      <c r="AB79" s="36" t="str">
        <f t="shared" si="16"/>
        <v>rokprognozy=2036 i lp=690</v>
      </c>
      <c r="AC79" s="36" t="str">
        <f t="shared" si="16"/>
        <v>rokprognozy=2037 i lp=690</v>
      </c>
      <c r="AD79" s="36" t="str">
        <f t="shared" si="18"/>
        <v>rokprognozy=2038 i lp=690</v>
      </c>
      <c r="AE79" s="36" t="str">
        <f t="shared" si="18"/>
        <v>rokprognozy=2039 i lp=690</v>
      </c>
      <c r="AF79" s="36" t="str">
        <f t="shared" si="18"/>
        <v>rokprognozy=2040 i lp=690</v>
      </c>
      <c r="AG79" s="36" t="str">
        <f t="shared" si="18"/>
        <v>rokprognozy=2041 i lp=690</v>
      </c>
      <c r="AH79" s="36" t="str">
        <f t="shared" si="18"/>
        <v>rokprognozy=2042 i lp=690</v>
      </c>
    </row>
    <row r="80" spans="1:34" ht="11.25">
      <c r="A80" s="35">
        <v>700</v>
      </c>
      <c r="B80" s="35">
        <v>12.2</v>
      </c>
      <c r="C80" s="36" t="s">
        <v>127</v>
      </c>
      <c r="D80" s="36" t="str">
        <f t="shared" si="17"/>
        <v>rokprognozy=2013 i lp=700</v>
      </c>
      <c r="E80" s="36" t="str">
        <f t="shared" si="15"/>
        <v>rokprognozy=2013 i lp=700</v>
      </c>
      <c r="F80" s="36" t="str">
        <f t="shared" si="15"/>
        <v>rokprognozy=2014 i lp=700</v>
      </c>
      <c r="G80" s="36" t="str">
        <f t="shared" si="15"/>
        <v>rokprognozy=2015 i lp=700</v>
      </c>
      <c r="H80" s="36" t="str">
        <f t="shared" si="15"/>
        <v>rokprognozy=2016 i lp=700</v>
      </c>
      <c r="I80" s="36" t="str">
        <f t="shared" si="15"/>
        <v>rokprognozy=2017 i lp=700</v>
      </c>
      <c r="J80" s="36" t="str">
        <f t="shared" si="15"/>
        <v>rokprognozy=2018 i lp=700</v>
      </c>
      <c r="K80" s="36" t="str">
        <f t="shared" si="15"/>
        <v>rokprognozy=2019 i lp=700</v>
      </c>
      <c r="L80" s="36" t="str">
        <f t="shared" si="15"/>
        <v>rokprognozy=2020 i lp=700</v>
      </c>
      <c r="M80" s="36" t="str">
        <f t="shared" si="15"/>
        <v>rokprognozy=2021 i lp=700</v>
      </c>
      <c r="N80" s="36" t="str">
        <f t="shared" si="16"/>
        <v>rokprognozy=2022 i lp=700</v>
      </c>
      <c r="O80" s="36" t="str">
        <f t="shared" si="16"/>
        <v>rokprognozy=2023 i lp=700</v>
      </c>
      <c r="P80" s="36" t="str">
        <f t="shared" si="16"/>
        <v>rokprognozy=2024 i lp=700</v>
      </c>
      <c r="Q80" s="36" t="str">
        <f t="shared" si="16"/>
        <v>rokprognozy=2025 i lp=700</v>
      </c>
      <c r="R80" s="36" t="str">
        <f t="shared" si="16"/>
        <v>rokprognozy=2026 i lp=700</v>
      </c>
      <c r="S80" s="36" t="str">
        <f t="shared" si="16"/>
        <v>rokprognozy=2027 i lp=700</v>
      </c>
      <c r="T80" s="36" t="str">
        <f t="shared" si="16"/>
        <v>rokprognozy=2028 i lp=700</v>
      </c>
      <c r="U80" s="36" t="str">
        <f t="shared" si="16"/>
        <v>rokprognozy=2029 i lp=700</v>
      </c>
      <c r="V80" s="36" t="str">
        <f t="shared" si="16"/>
        <v>rokprognozy=2030 i lp=700</v>
      </c>
      <c r="W80" s="36" t="str">
        <f t="shared" si="16"/>
        <v>rokprognozy=2031 i lp=700</v>
      </c>
      <c r="X80" s="36" t="str">
        <f t="shared" si="16"/>
        <v>rokprognozy=2032 i lp=700</v>
      </c>
      <c r="Y80" s="36" t="str">
        <f t="shared" si="16"/>
        <v>rokprognozy=2033 i lp=700</v>
      </c>
      <c r="Z80" s="36" t="str">
        <f t="shared" si="16"/>
        <v>rokprognozy=2034 i lp=700</v>
      </c>
      <c r="AA80" s="36" t="str">
        <f t="shared" si="16"/>
        <v>rokprognozy=2035 i lp=700</v>
      </c>
      <c r="AB80" s="36" t="str">
        <f t="shared" si="16"/>
        <v>rokprognozy=2036 i lp=700</v>
      </c>
      <c r="AC80" s="36" t="str">
        <f t="shared" si="16"/>
        <v>rokprognozy=2037 i lp=700</v>
      </c>
      <c r="AD80" s="36" t="str">
        <f t="shared" si="18"/>
        <v>rokprognozy=2038 i lp=700</v>
      </c>
      <c r="AE80" s="36" t="str">
        <f t="shared" si="18"/>
        <v>rokprognozy=2039 i lp=700</v>
      </c>
      <c r="AF80" s="36" t="str">
        <f t="shared" si="18"/>
        <v>rokprognozy=2040 i lp=700</v>
      </c>
      <c r="AG80" s="36" t="str">
        <f t="shared" si="18"/>
        <v>rokprognozy=2041 i lp=700</v>
      </c>
      <c r="AH80" s="36" t="str">
        <f t="shared" si="18"/>
        <v>rokprognozy=2042 i lp=700</v>
      </c>
    </row>
    <row r="81" spans="1:34" ht="11.25">
      <c r="A81" s="35">
        <v>710</v>
      </c>
      <c r="B81" s="35" t="s">
        <v>128</v>
      </c>
      <c r="C81" s="36" t="s">
        <v>129</v>
      </c>
      <c r="D81" s="36" t="str">
        <f t="shared" si="17"/>
        <v>rokprognozy=2013 i lp=710</v>
      </c>
      <c r="E81" s="36" t="str">
        <f t="shared" si="15"/>
        <v>rokprognozy=2013 i lp=710</v>
      </c>
      <c r="F81" s="36" t="str">
        <f t="shared" si="15"/>
        <v>rokprognozy=2014 i lp=710</v>
      </c>
      <c r="G81" s="36" t="str">
        <f t="shared" si="15"/>
        <v>rokprognozy=2015 i lp=710</v>
      </c>
      <c r="H81" s="36" t="str">
        <f t="shared" si="15"/>
        <v>rokprognozy=2016 i lp=710</v>
      </c>
      <c r="I81" s="36" t="str">
        <f t="shared" si="15"/>
        <v>rokprognozy=2017 i lp=710</v>
      </c>
      <c r="J81" s="36" t="str">
        <f t="shared" si="15"/>
        <v>rokprognozy=2018 i lp=710</v>
      </c>
      <c r="K81" s="36" t="str">
        <f t="shared" si="15"/>
        <v>rokprognozy=2019 i lp=710</v>
      </c>
      <c r="L81" s="36" t="str">
        <f t="shared" si="15"/>
        <v>rokprognozy=2020 i lp=710</v>
      </c>
      <c r="M81" s="36" t="str">
        <f t="shared" si="15"/>
        <v>rokprognozy=2021 i lp=710</v>
      </c>
      <c r="N81" s="36" t="str">
        <f t="shared" si="16"/>
        <v>rokprognozy=2022 i lp=710</v>
      </c>
      <c r="O81" s="36" t="str">
        <f t="shared" si="16"/>
        <v>rokprognozy=2023 i lp=710</v>
      </c>
      <c r="P81" s="36" t="str">
        <f t="shared" si="16"/>
        <v>rokprognozy=2024 i lp=710</v>
      </c>
      <c r="Q81" s="36" t="str">
        <f t="shared" si="16"/>
        <v>rokprognozy=2025 i lp=710</v>
      </c>
      <c r="R81" s="36" t="str">
        <f t="shared" si="16"/>
        <v>rokprognozy=2026 i lp=710</v>
      </c>
      <c r="S81" s="36" t="str">
        <f t="shared" si="16"/>
        <v>rokprognozy=2027 i lp=710</v>
      </c>
      <c r="T81" s="36" t="str">
        <f t="shared" si="16"/>
        <v>rokprognozy=2028 i lp=710</v>
      </c>
      <c r="U81" s="36" t="str">
        <f t="shared" si="16"/>
        <v>rokprognozy=2029 i lp=710</v>
      </c>
      <c r="V81" s="36" t="str">
        <f t="shared" si="16"/>
        <v>rokprognozy=2030 i lp=710</v>
      </c>
      <c r="W81" s="36" t="str">
        <f t="shared" si="16"/>
        <v>rokprognozy=2031 i lp=710</v>
      </c>
      <c r="X81" s="36" t="str">
        <f t="shared" si="16"/>
        <v>rokprognozy=2032 i lp=710</v>
      </c>
      <c r="Y81" s="36" t="str">
        <f t="shared" si="16"/>
        <v>rokprognozy=2033 i lp=710</v>
      </c>
      <c r="Z81" s="36" t="str">
        <f t="shared" si="16"/>
        <v>rokprognozy=2034 i lp=710</v>
      </c>
      <c r="AA81" s="36" t="str">
        <f t="shared" si="16"/>
        <v>rokprognozy=2035 i lp=710</v>
      </c>
      <c r="AB81" s="36" t="str">
        <f t="shared" si="16"/>
        <v>rokprognozy=2036 i lp=710</v>
      </c>
      <c r="AC81" s="36" t="str">
        <f t="shared" si="16"/>
        <v>rokprognozy=2037 i lp=710</v>
      </c>
      <c r="AD81" s="36" t="str">
        <f t="shared" si="18"/>
        <v>rokprognozy=2038 i lp=710</v>
      </c>
      <c r="AE81" s="36" t="str">
        <f t="shared" si="18"/>
        <v>rokprognozy=2039 i lp=710</v>
      </c>
      <c r="AF81" s="36" t="str">
        <f t="shared" si="18"/>
        <v>rokprognozy=2040 i lp=710</v>
      </c>
      <c r="AG81" s="36" t="str">
        <f t="shared" si="18"/>
        <v>rokprognozy=2041 i lp=710</v>
      </c>
      <c r="AH81" s="36" t="str">
        <f t="shared" si="18"/>
        <v>rokprognozy=2042 i lp=710</v>
      </c>
    </row>
    <row r="82" spans="1:34" ht="11.25">
      <c r="A82" s="35">
        <v>720</v>
      </c>
      <c r="B82" s="35" t="s">
        <v>130</v>
      </c>
      <c r="C82" s="36" t="s">
        <v>131</v>
      </c>
      <c r="D82" s="36" t="str">
        <f t="shared" si="17"/>
        <v>rokprognozy=2013 i lp=720</v>
      </c>
      <c r="E82" s="36" t="str">
        <f t="shared" si="15"/>
        <v>rokprognozy=2013 i lp=720</v>
      </c>
      <c r="F82" s="36" t="str">
        <f t="shared" si="15"/>
        <v>rokprognozy=2014 i lp=720</v>
      </c>
      <c r="G82" s="36" t="str">
        <f t="shared" si="15"/>
        <v>rokprognozy=2015 i lp=720</v>
      </c>
      <c r="H82" s="36" t="str">
        <f t="shared" si="15"/>
        <v>rokprognozy=2016 i lp=720</v>
      </c>
      <c r="I82" s="36" t="str">
        <f t="shared" si="15"/>
        <v>rokprognozy=2017 i lp=720</v>
      </c>
      <c r="J82" s="36" t="str">
        <f t="shared" si="15"/>
        <v>rokprognozy=2018 i lp=720</v>
      </c>
      <c r="K82" s="36" t="str">
        <f t="shared" si="15"/>
        <v>rokprognozy=2019 i lp=720</v>
      </c>
      <c r="L82" s="36" t="str">
        <f t="shared" si="15"/>
        <v>rokprognozy=2020 i lp=720</v>
      </c>
      <c r="M82" s="36" t="str">
        <f t="shared" si="15"/>
        <v>rokprognozy=2021 i lp=720</v>
      </c>
      <c r="N82" s="36" t="str">
        <f t="shared" si="16"/>
        <v>rokprognozy=2022 i lp=720</v>
      </c>
      <c r="O82" s="36" t="str">
        <f t="shared" si="16"/>
        <v>rokprognozy=2023 i lp=720</v>
      </c>
      <c r="P82" s="36" t="str">
        <f t="shared" si="16"/>
        <v>rokprognozy=2024 i lp=720</v>
      </c>
      <c r="Q82" s="36" t="str">
        <f t="shared" si="16"/>
        <v>rokprognozy=2025 i lp=720</v>
      </c>
      <c r="R82" s="36" t="str">
        <f t="shared" si="16"/>
        <v>rokprognozy=2026 i lp=720</v>
      </c>
      <c r="S82" s="36" t="str">
        <f t="shared" si="16"/>
        <v>rokprognozy=2027 i lp=720</v>
      </c>
      <c r="T82" s="36" t="str">
        <f t="shared" si="16"/>
        <v>rokprognozy=2028 i lp=720</v>
      </c>
      <c r="U82" s="36" t="str">
        <f t="shared" si="16"/>
        <v>rokprognozy=2029 i lp=720</v>
      </c>
      <c r="V82" s="36" t="str">
        <f t="shared" si="16"/>
        <v>rokprognozy=2030 i lp=720</v>
      </c>
      <c r="W82" s="36" t="str">
        <f t="shared" si="16"/>
        <v>rokprognozy=2031 i lp=720</v>
      </c>
      <c r="X82" s="36" t="str">
        <f t="shared" si="16"/>
        <v>rokprognozy=2032 i lp=720</v>
      </c>
      <c r="Y82" s="36" t="str">
        <f t="shared" si="16"/>
        <v>rokprognozy=2033 i lp=720</v>
      </c>
      <c r="Z82" s="36" t="str">
        <f t="shared" si="16"/>
        <v>rokprognozy=2034 i lp=720</v>
      </c>
      <c r="AA82" s="36" t="str">
        <f t="shared" si="16"/>
        <v>rokprognozy=2035 i lp=720</v>
      </c>
      <c r="AB82" s="36" t="str">
        <f t="shared" si="16"/>
        <v>rokprognozy=2036 i lp=720</v>
      </c>
      <c r="AC82" s="36" t="str">
        <f t="shared" si="16"/>
        <v>rokprognozy=2037 i lp=720</v>
      </c>
      <c r="AD82" s="36" t="str">
        <f t="shared" si="18"/>
        <v>rokprognozy=2038 i lp=720</v>
      </c>
      <c r="AE82" s="36" t="str">
        <f t="shared" si="18"/>
        <v>rokprognozy=2039 i lp=720</v>
      </c>
      <c r="AF82" s="36" t="str">
        <f t="shared" si="18"/>
        <v>rokprognozy=2040 i lp=720</v>
      </c>
      <c r="AG82" s="36" t="str">
        <f t="shared" si="18"/>
        <v>rokprognozy=2041 i lp=720</v>
      </c>
      <c r="AH82" s="36" t="str">
        <f t="shared" si="18"/>
        <v>rokprognozy=2042 i lp=720</v>
      </c>
    </row>
    <row r="83" spans="1:34" ht="11.25">
      <c r="A83" s="35">
        <v>730</v>
      </c>
      <c r="B83" s="35">
        <v>12.3</v>
      </c>
      <c r="C83" s="36" t="s">
        <v>132</v>
      </c>
      <c r="D83" s="36" t="str">
        <f t="shared" si="17"/>
        <v>rokprognozy=2013 i lp=730</v>
      </c>
      <c r="E83" s="36" t="str">
        <f t="shared" si="15"/>
        <v>rokprognozy=2013 i lp=730</v>
      </c>
      <c r="F83" s="36" t="str">
        <f t="shared" si="15"/>
        <v>rokprognozy=2014 i lp=730</v>
      </c>
      <c r="G83" s="36" t="str">
        <f t="shared" si="15"/>
        <v>rokprognozy=2015 i lp=730</v>
      </c>
      <c r="H83" s="36" t="str">
        <f t="shared" si="15"/>
        <v>rokprognozy=2016 i lp=730</v>
      </c>
      <c r="I83" s="36" t="str">
        <f t="shared" si="15"/>
        <v>rokprognozy=2017 i lp=730</v>
      </c>
      <c r="J83" s="36" t="str">
        <f t="shared" si="15"/>
        <v>rokprognozy=2018 i lp=730</v>
      </c>
      <c r="K83" s="36" t="str">
        <f t="shared" si="15"/>
        <v>rokprognozy=2019 i lp=730</v>
      </c>
      <c r="L83" s="36" t="str">
        <f t="shared" si="15"/>
        <v>rokprognozy=2020 i lp=730</v>
      </c>
      <c r="M83" s="36" t="str">
        <f t="shared" si="15"/>
        <v>rokprognozy=2021 i lp=730</v>
      </c>
      <c r="N83" s="36" t="str">
        <f t="shared" si="16"/>
        <v>rokprognozy=2022 i lp=730</v>
      </c>
      <c r="O83" s="36" t="str">
        <f t="shared" si="16"/>
        <v>rokprognozy=2023 i lp=730</v>
      </c>
      <c r="P83" s="36" t="str">
        <f t="shared" si="16"/>
        <v>rokprognozy=2024 i lp=730</v>
      </c>
      <c r="Q83" s="36" t="str">
        <f t="shared" si="16"/>
        <v>rokprognozy=2025 i lp=730</v>
      </c>
      <c r="R83" s="36" t="str">
        <f t="shared" si="16"/>
        <v>rokprognozy=2026 i lp=730</v>
      </c>
      <c r="S83" s="36" t="str">
        <f t="shared" si="16"/>
        <v>rokprognozy=2027 i lp=730</v>
      </c>
      <c r="T83" s="36" t="str">
        <f t="shared" si="16"/>
        <v>rokprognozy=2028 i lp=730</v>
      </c>
      <c r="U83" s="36" t="str">
        <f t="shared" si="16"/>
        <v>rokprognozy=2029 i lp=730</v>
      </c>
      <c r="V83" s="36" t="str">
        <f t="shared" si="16"/>
        <v>rokprognozy=2030 i lp=730</v>
      </c>
      <c r="W83" s="36" t="str">
        <f t="shared" si="16"/>
        <v>rokprognozy=2031 i lp=730</v>
      </c>
      <c r="X83" s="36" t="str">
        <f t="shared" si="16"/>
        <v>rokprognozy=2032 i lp=730</v>
      </c>
      <c r="Y83" s="36" t="str">
        <f t="shared" si="16"/>
        <v>rokprognozy=2033 i lp=730</v>
      </c>
      <c r="Z83" s="36" t="str">
        <f t="shared" si="16"/>
        <v>rokprognozy=2034 i lp=730</v>
      </c>
      <c r="AA83" s="36" t="str">
        <f t="shared" si="16"/>
        <v>rokprognozy=2035 i lp=730</v>
      </c>
      <c r="AB83" s="36" t="str">
        <f t="shared" si="16"/>
        <v>rokprognozy=2036 i lp=730</v>
      </c>
      <c r="AC83" s="36" t="str">
        <f t="shared" si="16"/>
        <v>rokprognozy=2037 i lp=730</v>
      </c>
      <c r="AD83" s="36" t="str">
        <f t="shared" si="18"/>
        <v>rokprognozy=2038 i lp=730</v>
      </c>
      <c r="AE83" s="36" t="str">
        <f t="shared" si="18"/>
        <v>rokprognozy=2039 i lp=730</v>
      </c>
      <c r="AF83" s="36" t="str">
        <f t="shared" si="18"/>
        <v>rokprognozy=2040 i lp=730</v>
      </c>
      <c r="AG83" s="36" t="str">
        <f t="shared" si="18"/>
        <v>rokprognozy=2041 i lp=730</v>
      </c>
      <c r="AH83" s="36" t="str">
        <f t="shared" si="18"/>
        <v>rokprognozy=2042 i lp=730</v>
      </c>
    </row>
    <row r="84" spans="1:34" ht="11.25">
      <c r="A84" s="35">
        <v>740</v>
      </c>
      <c r="B84" s="35" t="s">
        <v>133</v>
      </c>
      <c r="C84" s="36" t="s">
        <v>134</v>
      </c>
      <c r="D84" s="36" t="str">
        <f t="shared" si="17"/>
        <v>rokprognozy=2013 i lp=740</v>
      </c>
      <c r="E84" s="36" t="str">
        <f t="shared" si="15"/>
        <v>rokprognozy=2013 i lp=740</v>
      </c>
      <c r="F84" s="36" t="str">
        <f t="shared" si="15"/>
        <v>rokprognozy=2014 i lp=740</v>
      </c>
      <c r="G84" s="36" t="str">
        <f t="shared" si="15"/>
        <v>rokprognozy=2015 i lp=740</v>
      </c>
      <c r="H84" s="36" t="str">
        <f t="shared" si="15"/>
        <v>rokprognozy=2016 i lp=740</v>
      </c>
      <c r="I84" s="36" t="str">
        <f t="shared" si="15"/>
        <v>rokprognozy=2017 i lp=740</v>
      </c>
      <c r="J84" s="36" t="str">
        <f t="shared" si="15"/>
        <v>rokprognozy=2018 i lp=740</v>
      </c>
      <c r="K84" s="36" t="str">
        <f t="shared" si="15"/>
        <v>rokprognozy=2019 i lp=740</v>
      </c>
      <c r="L84" s="36" t="str">
        <f t="shared" si="15"/>
        <v>rokprognozy=2020 i lp=740</v>
      </c>
      <c r="M84" s="36" t="str">
        <f t="shared" si="15"/>
        <v>rokprognozy=2021 i lp=740</v>
      </c>
      <c r="N84" s="36" t="str">
        <f t="shared" si="16"/>
        <v>rokprognozy=2022 i lp=740</v>
      </c>
      <c r="O84" s="36" t="str">
        <f t="shared" si="16"/>
        <v>rokprognozy=2023 i lp=740</v>
      </c>
      <c r="P84" s="36" t="str">
        <f t="shared" si="16"/>
        <v>rokprognozy=2024 i lp=740</v>
      </c>
      <c r="Q84" s="36" t="str">
        <f t="shared" si="16"/>
        <v>rokprognozy=2025 i lp=740</v>
      </c>
      <c r="R84" s="36" t="str">
        <f t="shared" si="16"/>
        <v>rokprognozy=2026 i lp=740</v>
      </c>
      <c r="S84" s="36" t="str">
        <f t="shared" si="16"/>
        <v>rokprognozy=2027 i lp=740</v>
      </c>
      <c r="T84" s="36" t="str">
        <f t="shared" si="16"/>
        <v>rokprognozy=2028 i lp=740</v>
      </c>
      <c r="U84" s="36" t="str">
        <f t="shared" si="16"/>
        <v>rokprognozy=2029 i lp=740</v>
      </c>
      <c r="V84" s="36" t="str">
        <f t="shared" si="16"/>
        <v>rokprognozy=2030 i lp=740</v>
      </c>
      <c r="W84" s="36" t="str">
        <f t="shared" si="16"/>
        <v>rokprognozy=2031 i lp=740</v>
      </c>
      <c r="X84" s="36" t="str">
        <f t="shared" si="16"/>
        <v>rokprognozy=2032 i lp=740</v>
      </c>
      <c r="Y84" s="36" t="str">
        <f t="shared" si="16"/>
        <v>rokprognozy=2033 i lp=740</v>
      </c>
      <c r="Z84" s="36" t="str">
        <f t="shared" si="16"/>
        <v>rokprognozy=2034 i lp=740</v>
      </c>
      <c r="AA84" s="36" t="str">
        <f t="shared" si="16"/>
        <v>rokprognozy=2035 i lp=740</v>
      </c>
      <c r="AB84" s="36" t="str">
        <f t="shared" si="16"/>
        <v>rokprognozy=2036 i lp=740</v>
      </c>
      <c r="AC84" s="36" t="str">
        <f t="shared" si="16"/>
        <v>rokprognozy=2037 i lp=740</v>
      </c>
      <c r="AD84" s="36" t="str">
        <f t="shared" si="18"/>
        <v>rokprognozy=2038 i lp=740</v>
      </c>
      <c r="AE84" s="36" t="str">
        <f t="shared" si="18"/>
        <v>rokprognozy=2039 i lp=740</v>
      </c>
      <c r="AF84" s="36" t="str">
        <f t="shared" si="18"/>
        <v>rokprognozy=2040 i lp=740</v>
      </c>
      <c r="AG84" s="36" t="str">
        <f t="shared" si="18"/>
        <v>rokprognozy=2041 i lp=740</v>
      </c>
      <c r="AH84" s="36" t="str">
        <f t="shared" si="18"/>
        <v>rokprognozy=2042 i lp=740</v>
      </c>
    </row>
    <row r="85" spans="1:34" ht="11.25">
      <c r="A85" s="35">
        <v>750</v>
      </c>
      <c r="B85" s="35" t="s">
        <v>135</v>
      </c>
      <c r="C85" s="36" t="s">
        <v>136</v>
      </c>
      <c r="D85" s="36" t="str">
        <f t="shared" si="17"/>
        <v>rokprognozy=2013 i lp=750</v>
      </c>
      <c r="E85" s="36" t="str">
        <f aca="true" t="shared" si="19" ref="E85:T104">+"rokprognozy="&amp;E$9&amp;" i lp="&amp;$A85</f>
        <v>rokprognozy=2013 i lp=750</v>
      </c>
      <c r="F85" s="36" t="str">
        <f t="shared" si="19"/>
        <v>rokprognozy=2014 i lp=750</v>
      </c>
      <c r="G85" s="36" t="str">
        <f t="shared" si="19"/>
        <v>rokprognozy=2015 i lp=750</v>
      </c>
      <c r="H85" s="36" t="str">
        <f t="shared" si="19"/>
        <v>rokprognozy=2016 i lp=750</v>
      </c>
      <c r="I85" s="36" t="str">
        <f t="shared" si="19"/>
        <v>rokprognozy=2017 i lp=750</v>
      </c>
      <c r="J85" s="36" t="str">
        <f t="shared" si="19"/>
        <v>rokprognozy=2018 i lp=750</v>
      </c>
      <c r="K85" s="36" t="str">
        <f t="shared" si="19"/>
        <v>rokprognozy=2019 i lp=750</v>
      </c>
      <c r="L85" s="36" t="str">
        <f t="shared" si="19"/>
        <v>rokprognozy=2020 i lp=750</v>
      </c>
      <c r="M85" s="36" t="str">
        <f t="shared" si="19"/>
        <v>rokprognozy=2021 i lp=750</v>
      </c>
      <c r="N85" s="36" t="str">
        <f t="shared" si="16"/>
        <v>rokprognozy=2022 i lp=750</v>
      </c>
      <c r="O85" s="36" t="str">
        <f t="shared" si="16"/>
        <v>rokprognozy=2023 i lp=750</v>
      </c>
      <c r="P85" s="36" t="str">
        <f t="shared" si="16"/>
        <v>rokprognozy=2024 i lp=750</v>
      </c>
      <c r="Q85" s="36" t="str">
        <f t="shared" si="16"/>
        <v>rokprognozy=2025 i lp=750</v>
      </c>
      <c r="R85" s="36" t="str">
        <f t="shared" si="16"/>
        <v>rokprognozy=2026 i lp=750</v>
      </c>
      <c r="S85" s="36" t="str">
        <f t="shared" si="16"/>
        <v>rokprognozy=2027 i lp=750</v>
      </c>
      <c r="T85" s="36" t="str">
        <f t="shared" si="16"/>
        <v>rokprognozy=2028 i lp=750</v>
      </c>
      <c r="U85" s="36" t="str">
        <f t="shared" si="16"/>
        <v>rokprognozy=2029 i lp=750</v>
      </c>
      <c r="V85" s="36" t="str">
        <f t="shared" si="16"/>
        <v>rokprognozy=2030 i lp=750</v>
      </c>
      <c r="W85" s="36" t="str">
        <f t="shared" si="16"/>
        <v>rokprognozy=2031 i lp=750</v>
      </c>
      <c r="X85" s="36" t="str">
        <f t="shared" si="16"/>
        <v>rokprognozy=2032 i lp=750</v>
      </c>
      <c r="Y85" s="36" t="str">
        <f t="shared" si="16"/>
        <v>rokprognozy=2033 i lp=750</v>
      </c>
      <c r="Z85" s="36" t="str">
        <f t="shared" si="16"/>
        <v>rokprognozy=2034 i lp=750</v>
      </c>
      <c r="AA85" s="36" t="str">
        <f t="shared" si="16"/>
        <v>rokprognozy=2035 i lp=750</v>
      </c>
      <c r="AB85" s="36" t="str">
        <f t="shared" si="16"/>
        <v>rokprognozy=2036 i lp=750</v>
      </c>
      <c r="AC85" s="36" t="str">
        <f t="shared" si="16"/>
        <v>rokprognozy=2037 i lp=750</v>
      </c>
      <c r="AD85" s="36" t="str">
        <f t="shared" si="18"/>
        <v>rokprognozy=2038 i lp=750</v>
      </c>
      <c r="AE85" s="36" t="str">
        <f t="shared" si="18"/>
        <v>rokprognozy=2039 i lp=750</v>
      </c>
      <c r="AF85" s="36" t="str">
        <f t="shared" si="18"/>
        <v>rokprognozy=2040 i lp=750</v>
      </c>
      <c r="AG85" s="36" t="str">
        <f t="shared" si="18"/>
        <v>rokprognozy=2041 i lp=750</v>
      </c>
      <c r="AH85" s="36" t="str">
        <f t="shared" si="18"/>
        <v>rokprognozy=2042 i lp=750</v>
      </c>
    </row>
    <row r="86" spans="1:34" ht="11.25">
      <c r="A86" s="35">
        <v>760</v>
      </c>
      <c r="B86" s="35">
        <v>12.4</v>
      </c>
      <c r="C86" s="36" t="s">
        <v>137</v>
      </c>
      <c r="D86" s="36" t="str">
        <f t="shared" si="17"/>
        <v>rokprognozy=2013 i lp=760</v>
      </c>
      <c r="E86" s="36" t="str">
        <f t="shared" si="19"/>
        <v>rokprognozy=2013 i lp=760</v>
      </c>
      <c r="F86" s="36" t="str">
        <f t="shared" si="19"/>
        <v>rokprognozy=2014 i lp=760</v>
      </c>
      <c r="G86" s="36" t="str">
        <f t="shared" si="19"/>
        <v>rokprognozy=2015 i lp=760</v>
      </c>
      <c r="H86" s="36" t="str">
        <f t="shared" si="19"/>
        <v>rokprognozy=2016 i lp=760</v>
      </c>
      <c r="I86" s="36" t="str">
        <f t="shared" si="19"/>
        <v>rokprognozy=2017 i lp=760</v>
      </c>
      <c r="J86" s="36" t="str">
        <f t="shared" si="19"/>
        <v>rokprognozy=2018 i lp=760</v>
      </c>
      <c r="K86" s="36" t="str">
        <f t="shared" si="19"/>
        <v>rokprognozy=2019 i lp=760</v>
      </c>
      <c r="L86" s="36" t="str">
        <f t="shared" si="19"/>
        <v>rokprognozy=2020 i lp=760</v>
      </c>
      <c r="M86" s="36" t="str">
        <f t="shared" si="19"/>
        <v>rokprognozy=2021 i lp=760</v>
      </c>
      <c r="N86" s="36" t="str">
        <f t="shared" si="16"/>
        <v>rokprognozy=2022 i lp=760</v>
      </c>
      <c r="O86" s="36" t="str">
        <f t="shared" si="16"/>
        <v>rokprognozy=2023 i lp=760</v>
      </c>
      <c r="P86" s="36" t="str">
        <f t="shared" si="16"/>
        <v>rokprognozy=2024 i lp=760</v>
      </c>
      <c r="Q86" s="36" t="str">
        <f t="shared" si="16"/>
        <v>rokprognozy=2025 i lp=760</v>
      </c>
      <c r="R86" s="36" t="str">
        <f t="shared" si="16"/>
        <v>rokprognozy=2026 i lp=760</v>
      </c>
      <c r="S86" s="36" t="str">
        <f t="shared" si="16"/>
        <v>rokprognozy=2027 i lp=760</v>
      </c>
      <c r="T86" s="36" t="str">
        <f t="shared" si="16"/>
        <v>rokprognozy=2028 i lp=760</v>
      </c>
      <c r="U86" s="36" t="str">
        <f t="shared" si="16"/>
        <v>rokprognozy=2029 i lp=760</v>
      </c>
      <c r="V86" s="36" t="str">
        <f t="shared" si="16"/>
        <v>rokprognozy=2030 i lp=760</v>
      </c>
      <c r="W86" s="36" t="str">
        <f t="shared" si="16"/>
        <v>rokprognozy=2031 i lp=760</v>
      </c>
      <c r="X86" s="36" t="str">
        <f t="shared" si="16"/>
        <v>rokprognozy=2032 i lp=760</v>
      </c>
      <c r="Y86" s="36" t="str">
        <f t="shared" si="16"/>
        <v>rokprognozy=2033 i lp=760</v>
      </c>
      <c r="Z86" s="36" t="str">
        <f t="shared" si="16"/>
        <v>rokprognozy=2034 i lp=760</v>
      </c>
      <c r="AA86" s="36" t="str">
        <f t="shared" si="16"/>
        <v>rokprognozy=2035 i lp=760</v>
      </c>
      <c r="AB86" s="36" t="str">
        <f t="shared" si="16"/>
        <v>rokprognozy=2036 i lp=760</v>
      </c>
      <c r="AC86" s="36" t="str">
        <f t="shared" si="16"/>
        <v>rokprognozy=2037 i lp=760</v>
      </c>
      <c r="AD86" s="36" t="str">
        <f t="shared" si="18"/>
        <v>rokprognozy=2038 i lp=760</v>
      </c>
      <c r="AE86" s="36" t="str">
        <f t="shared" si="18"/>
        <v>rokprognozy=2039 i lp=760</v>
      </c>
      <c r="AF86" s="36" t="str">
        <f t="shared" si="18"/>
        <v>rokprognozy=2040 i lp=760</v>
      </c>
      <c r="AG86" s="36" t="str">
        <f t="shared" si="18"/>
        <v>rokprognozy=2041 i lp=760</v>
      </c>
      <c r="AH86" s="36" t="str">
        <f t="shared" si="18"/>
        <v>rokprognozy=2042 i lp=760</v>
      </c>
    </row>
    <row r="87" spans="1:34" ht="11.25">
      <c r="A87" s="35">
        <v>770</v>
      </c>
      <c r="B87" s="35" t="s">
        <v>138</v>
      </c>
      <c r="C87" s="36" t="s">
        <v>139</v>
      </c>
      <c r="D87" s="36" t="str">
        <f t="shared" si="17"/>
        <v>rokprognozy=2013 i lp=770</v>
      </c>
      <c r="E87" s="36" t="str">
        <f t="shared" si="19"/>
        <v>rokprognozy=2013 i lp=770</v>
      </c>
      <c r="F87" s="36" t="str">
        <f t="shared" si="19"/>
        <v>rokprognozy=2014 i lp=770</v>
      </c>
      <c r="G87" s="36" t="str">
        <f t="shared" si="19"/>
        <v>rokprognozy=2015 i lp=770</v>
      </c>
      <c r="H87" s="36" t="str">
        <f t="shared" si="19"/>
        <v>rokprognozy=2016 i lp=770</v>
      </c>
      <c r="I87" s="36" t="str">
        <f t="shared" si="19"/>
        <v>rokprognozy=2017 i lp=770</v>
      </c>
      <c r="J87" s="36" t="str">
        <f t="shared" si="19"/>
        <v>rokprognozy=2018 i lp=770</v>
      </c>
      <c r="K87" s="36" t="str">
        <f t="shared" si="19"/>
        <v>rokprognozy=2019 i lp=770</v>
      </c>
      <c r="L87" s="36" t="str">
        <f t="shared" si="19"/>
        <v>rokprognozy=2020 i lp=770</v>
      </c>
      <c r="M87" s="36" t="str">
        <f t="shared" si="19"/>
        <v>rokprognozy=2021 i lp=770</v>
      </c>
      <c r="N87" s="36" t="str">
        <f t="shared" si="16"/>
        <v>rokprognozy=2022 i lp=770</v>
      </c>
      <c r="O87" s="36" t="str">
        <f t="shared" si="16"/>
        <v>rokprognozy=2023 i lp=770</v>
      </c>
      <c r="P87" s="36" t="str">
        <f t="shared" si="16"/>
        <v>rokprognozy=2024 i lp=770</v>
      </c>
      <c r="Q87" s="36" t="str">
        <f t="shared" si="16"/>
        <v>rokprognozy=2025 i lp=770</v>
      </c>
      <c r="R87" s="36" t="str">
        <f t="shared" si="16"/>
        <v>rokprognozy=2026 i lp=770</v>
      </c>
      <c r="S87" s="36" t="str">
        <f t="shared" si="16"/>
        <v>rokprognozy=2027 i lp=770</v>
      </c>
      <c r="T87" s="36" t="str">
        <f t="shared" si="16"/>
        <v>rokprognozy=2028 i lp=770</v>
      </c>
      <c r="U87" s="36" t="str">
        <f t="shared" si="16"/>
        <v>rokprognozy=2029 i lp=770</v>
      </c>
      <c r="V87" s="36" t="str">
        <f t="shared" si="16"/>
        <v>rokprognozy=2030 i lp=770</v>
      </c>
      <c r="W87" s="36" t="str">
        <f t="shared" si="16"/>
        <v>rokprognozy=2031 i lp=770</v>
      </c>
      <c r="X87" s="36" t="str">
        <f t="shared" si="16"/>
        <v>rokprognozy=2032 i lp=770</v>
      </c>
      <c r="Y87" s="36" t="str">
        <f t="shared" si="16"/>
        <v>rokprognozy=2033 i lp=770</v>
      </c>
      <c r="Z87" s="36" t="str">
        <f t="shared" si="16"/>
        <v>rokprognozy=2034 i lp=770</v>
      </c>
      <c r="AA87" s="36" t="str">
        <f t="shared" si="16"/>
        <v>rokprognozy=2035 i lp=770</v>
      </c>
      <c r="AB87" s="36" t="str">
        <f t="shared" si="16"/>
        <v>rokprognozy=2036 i lp=770</v>
      </c>
      <c r="AC87" s="36" t="str">
        <f t="shared" si="16"/>
        <v>rokprognozy=2037 i lp=770</v>
      </c>
      <c r="AD87" s="36" t="str">
        <f t="shared" si="18"/>
        <v>rokprognozy=2038 i lp=770</v>
      </c>
      <c r="AE87" s="36" t="str">
        <f t="shared" si="18"/>
        <v>rokprognozy=2039 i lp=770</v>
      </c>
      <c r="AF87" s="36" t="str">
        <f t="shared" si="18"/>
        <v>rokprognozy=2040 i lp=770</v>
      </c>
      <c r="AG87" s="36" t="str">
        <f t="shared" si="18"/>
        <v>rokprognozy=2041 i lp=770</v>
      </c>
      <c r="AH87" s="36" t="str">
        <f t="shared" si="18"/>
        <v>rokprognozy=2042 i lp=770</v>
      </c>
    </row>
    <row r="88" spans="1:34" ht="11.25">
      <c r="A88" s="35">
        <v>780</v>
      </c>
      <c r="B88" s="35" t="s">
        <v>140</v>
      </c>
      <c r="C88" s="36" t="s">
        <v>141</v>
      </c>
      <c r="D88" s="36" t="str">
        <f t="shared" si="17"/>
        <v>rokprognozy=2013 i lp=780</v>
      </c>
      <c r="E88" s="36" t="str">
        <f t="shared" si="19"/>
        <v>rokprognozy=2013 i lp=780</v>
      </c>
      <c r="F88" s="36" t="str">
        <f t="shared" si="19"/>
        <v>rokprognozy=2014 i lp=780</v>
      </c>
      <c r="G88" s="36" t="str">
        <f t="shared" si="19"/>
        <v>rokprognozy=2015 i lp=780</v>
      </c>
      <c r="H88" s="36" t="str">
        <f t="shared" si="19"/>
        <v>rokprognozy=2016 i lp=780</v>
      </c>
      <c r="I88" s="36" t="str">
        <f t="shared" si="19"/>
        <v>rokprognozy=2017 i lp=780</v>
      </c>
      <c r="J88" s="36" t="str">
        <f t="shared" si="19"/>
        <v>rokprognozy=2018 i lp=780</v>
      </c>
      <c r="K88" s="36" t="str">
        <f t="shared" si="19"/>
        <v>rokprognozy=2019 i lp=780</v>
      </c>
      <c r="L88" s="36" t="str">
        <f t="shared" si="19"/>
        <v>rokprognozy=2020 i lp=780</v>
      </c>
      <c r="M88" s="36" t="str">
        <f t="shared" si="19"/>
        <v>rokprognozy=2021 i lp=780</v>
      </c>
      <c r="N88" s="36" t="str">
        <f t="shared" si="19"/>
        <v>rokprognozy=2022 i lp=780</v>
      </c>
      <c r="O88" s="36" t="str">
        <f t="shared" si="19"/>
        <v>rokprognozy=2023 i lp=780</v>
      </c>
      <c r="P88" s="36" t="str">
        <f t="shared" si="19"/>
        <v>rokprognozy=2024 i lp=780</v>
      </c>
      <c r="Q88" s="36" t="str">
        <f t="shared" si="19"/>
        <v>rokprognozy=2025 i lp=780</v>
      </c>
      <c r="R88" s="36" t="str">
        <f t="shared" si="19"/>
        <v>rokprognozy=2026 i lp=780</v>
      </c>
      <c r="S88" s="36" t="str">
        <f t="shared" si="19"/>
        <v>rokprognozy=2027 i lp=780</v>
      </c>
      <c r="T88" s="36" t="str">
        <f t="shared" si="19"/>
        <v>rokprognozy=2028 i lp=780</v>
      </c>
      <c r="U88" s="36" t="str">
        <f aca="true" t="shared" si="20" ref="N88:AC104">+"rokprognozy="&amp;U$9&amp;" i lp="&amp;$A88</f>
        <v>rokprognozy=2029 i lp=780</v>
      </c>
      <c r="V88" s="36" t="str">
        <f t="shared" si="20"/>
        <v>rokprognozy=2030 i lp=780</v>
      </c>
      <c r="W88" s="36" t="str">
        <f t="shared" si="20"/>
        <v>rokprognozy=2031 i lp=780</v>
      </c>
      <c r="X88" s="36" t="str">
        <f t="shared" si="20"/>
        <v>rokprognozy=2032 i lp=780</v>
      </c>
      <c r="Y88" s="36" t="str">
        <f t="shared" si="20"/>
        <v>rokprognozy=2033 i lp=780</v>
      </c>
      <c r="Z88" s="36" t="str">
        <f t="shared" si="20"/>
        <v>rokprognozy=2034 i lp=780</v>
      </c>
      <c r="AA88" s="36" t="str">
        <f t="shared" si="20"/>
        <v>rokprognozy=2035 i lp=780</v>
      </c>
      <c r="AB88" s="36" t="str">
        <f t="shared" si="20"/>
        <v>rokprognozy=2036 i lp=780</v>
      </c>
      <c r="AC88" s="36" t="str">
        <f t="shared" si="20"/>
        <v>rokprognozy=2037 i lp=780</v>
      </c>
      <c r="AD88" s="36" t="str">
        <f t="shared" si="18"/>
        <v>rokprognozy=2038 i lp=780</v>
      </c>
      <c r="AE88" s="36" t="str">
        <f t="shared" si="18"/>
        <v>rokprognozy=2039 i lp=780</v>
      </c>
      <c r="AF88" s="36" t="str">
        <f t="shared" si="18"/>
        <v>rokprognozy=2040 i lp=780</v>
      </c>
      <c r="AG88" s="36" t="str">
        <f t="shared" si="18"/>
        <v>rokprognozy=2041 i lp=780</v>
      </c>
      <c r="AH88" s="36" t="str">
        <f t="shared" si="18"/>
        <v>rokprognozy=2042 i lp=780</v>
      </c>
    </row>
    <row r="89" spans="1:34" ht="11.25">
      <c r="A89" s="35">
        <v>790</v>
      </c>
      <c r="B89" s="35">
        <v>13</v>
      </c>
      <c r="C89" s="36" t="s">
        <v>142</v>
      </c>
      <c r="D89" s="36" t="str">
        <f t="shared" si="17"/>
        <v>rokprognozy=2013 i lp=790</v>
      </c>
      <c r="E89" s="36" t="str">
        <f t="shared" si="19"/>
        <v>rokprognozy=2013 i lp=790</v>
      </c>
      <c r="F89" s="36" t="str">
        <f t="shared" si="19"/>
        <v>rokprognozy=2014 i lp=790</v>
      </c>
      <c r="G89" s="36" t="str">
        <f t="shared" si="19"/>
        <v>rokprognozy=2015 i lp=790</v>
      </c>
      <c r="H89" s="36" t="str">
        <f t="shared" si="19"/>
        <v>rokprognozy=2016 i lp=790</v>
      </c>
      <c r="I89" s="36" t="str">
        <f t="shared" si="19"/>
        <v>rokprognozy=2017 i lp=790</v>
      </c>
      <c r="J89" s="36" t="str">
        <f t="shared" si="19"/>
        <v>rokprognozy=2018 i lp=790</v>
      </c>
      <c r="K89" s="36" t="str">
        <f t="shared" si="19"/>
        <v>rokprognozy=2019 i lp=790</v>
      </c>
      <c r="L89" s="36" t="str">
        <f t="shared" si="19"/>
        <v>rokprognozy=2020 i lp=790</v>
      </c>
      <c r="M89" s="36" t="str">
        <f t="shared" si="19"/>
        <v>rokprognozy=2021 i lp=790</v>
      </c>
      <c r="N89" s="36" t="str">
        <f t="shared" si="20"/>
        <v>rokprognozy=2022 i lp=790</v>
      </c>
      <c r="O89" s="36" t="str">
        <f t="shared" si="20"/>
        <v>rokprognozy=2023 i lp=790</v>
      </c>
      <c r="P89" s="36" t="str">
        <f t="shared" si="20"/>
        <v>rokprognozy=2024 i lp=790</v>
      </c>
      <c r="Q89" s="36" t="str">
        <f t="shared" si="20"/>
        <v>rokprognozy=2025 i lp=790</v>
      </c>
      <c r="R89" s="36" t="str">
        <f t="shared" si="20"/>
        <v>rokprognozy=2026 i lp=790</v>
      </c>
      <c r="S89" s="36" t="str">
        <f t="shared" si="20"/>
        <v>rokprognozy=2027 i lp=790</v>
      </c>
      <c r="T89" s="36" t="str">
        <f t="shared" si="20"/>
        <v>rokprognozy=2028 i lp=790</v>
      </c>
      <c r="U89" s="36" t="str">
        <f t="shared" si="20"/>
        <v>rokprognozy=2029 i lp=790</v>
      </c>
      <c r="V89" s="36" t="str">
        <f t="shared" si="20"/>
        <v>rokprognozy=2030 i lp=790</v>
      </c>
      <c r="W89" s="36" t="str">
        <f t="shared" si="20"/>
        <v>rokprognozy=2031 i lp=790</v>
      </c>
      <c r="X89" s="36" t="str">
        <f t="shared" si="20"/>
        <v>rokprognozy=2032 i lp=790</v>
      </c>
      <c r="Y89" s="36" t="str">
        <f t="shared" si="20"/>
        <v>rokprognozy=2033 i lp=790</v>
      </c>
      <c r="Z89" s="36" t="str">
        <f t="shared" si="20"/>
        <v>rokprognozy=2034 i lp=790</v>
      </c>
      <c r="AA89" s="36" t="str">
        <f t="shared" si="20"/>
        <v>rokprognozy=2035 i lp=790</v>
      </c>
      <c r="AB89" s="36" t="str">
        <f t="shared" si="20"/>
        <v>rokprognozy=2036 i lp=790</v>
      </c>
      <c r="AC89" s="36" t="str">
        <f t="shared" si="20"/>
        <v>rokprognozy=2037 i lp=790</v>
      </c>
      <c r="AD89" s="36" t="str">
        <f t="shared" si="18"/>
        <v>rokprognozy=2038 i lp=790</v>
      </c>
      <c r="AE89" s="36" t="str">
        <f t="shared" si="18"/>
        <v>rokprognozy=2039 i lp=790</v>
      </c>
      <c r="AF89" s="36" t="str">
        <f t="shared" si="18"/>
        <v>rokprognozy=2040 i lp=790</v>
      </c>
      <c r="AG89" s="36" t="str">
        <f t="shared" si="18"/>
        <v>rokprognozy=2041 i lp=790</v>
      </c>
      <c r="AH89" s="36" t="str">
        <f t="shared" si="18"/>
        <v>rokprognozy=2042 i lp=790</v>
      </c>
    </row>
    <row r="90" spans="1:34" ht="11.25">
      <c r="A90" s="35">
        <v>800</v>
      </c>
      <c r="B90" s="35">
        <v>13.1</v>
      </c>
      <c r="C90" s="36" t="s">
        <v>143</v>
      </c>
      <c r="D90" s="36" t="str">
        <f t="shared" si="17"/>
        <v>rokprognozy=2013 i lp=800</v>
      </c>
      <c r="E90" s="36" t="str">
        <f t="shared" si="19"/>
        <v>rokprognozy=2013 i lp=800</v>
      </c>
      <c r="F90" s="36" t="str">
        <f t="shared" si="19"/>
        <v>rokprognozy=2014 i lp=800</v>
      </c>
      <c r="G90" s="36" t="str">
        <f t="shared" si="19"/>
        <v>rokprognozy=2015 i lp=800</v>
      </c>
      <c r="H90" s="36" t="str">
        <f t="shared" si="19"/>
        <v>rokprognozy=2016 i lp=800</v>
      </c>
      <c r="I90" s="36" t="str">
        <f t="shared" si="19"/>
        <v>rokprognozy=2017 i lp=800</v>
      </c>
      <c r="J90" s="36" t="str">
        <f t="shared" si="19"/>
        <v>rokprognozy=2018 i lp=800</v>
      </c>
      <c r="K90" s="36" t="str">
        <f t="shared" si="19"/>
        <v>rokprognozy=2019 i lp=800</v>
      </c>
      <c r="L90" s="36" t="str">
        <f t="shared" si="19"/>
        <v>rokprognozy=2020 i lp=800</v>
      </c>
      <c r="M90" s="36" t="str">
        <f t="shared" si="19"/>
        <v>rokprognozy=2021 i lp=800</v>
      </c>
      <c r="N90" s="36" t="str">
        <f t="shared" si="20"/>
        <v>rokprognozy=2022 i lp=800</v>
      </c>
      <c r="O90" s="36" t="str">
        <f t="shared" si="20"/>
        <v>rokprognozy=2023 i lp=800</v>
      </c>
      <c r="P90" s="36" t="str">
        <f t="shared" si="20"/>
        <v>rokprognozy=2024 i lp=800</v>
      </c>
      <c r="Q90" s="36" t="str">
        <f t="shared" si="20"/>
        <v>rokprognozy=2025 i lp=800</v>
      </c>
      <c r="R90" s="36" t="str">
        <f t="shared" si="20"/>
        <v>rokprognozy=2026 i lp=800</v>
      </c>
      <c r="S90" s="36" t="str">
        <f t="shared" si="20"/>
        <v>rokprognozy=2027 i lp=800</v>
      </c>
      <c r="T90" s="36" t="str">
        <f t="shared" si="20"/>
        <v>rokprognozy=2028 i lp=800</v>
      </c>
      <c r="U90" s="36" t="str">
        <f t="shared" si="20"/>
        <v>rokprognozy=2029 i lp=800</v>
      </c>
      <c r="V90" s="36" t="str">
        <f t="shared" si="20"/>
        <v>rokprognozy=2030 i lp=800</v>
      </c>
      <c r="W90" s="36" t="str">
        <f t="shared" si="20"/>
        <v>rokprognozy=2031 i lp=800</v>
      </c>
      <c r="X90" s="36" t="str">
        <f t="shared" si="20"/>
        <v>rokprognozy=2032 i lp=800</v>
      </c>
      <c r="Y90" s="36" t="str">
        <f t="shared" si="20"/>
        <v>rokprognozy=2033 i lp=800</v>
      </c>
      <c r="Z90" s="36" t="str">
        <f t="shared" si="20"/>
        <v>rokprognozy=2034 i lp=800</v>
      </c>
      <c r="AA90" s="36" t="str">
        <f t="shared" si="20"/>
        <v>rokprognozy=2035 i lp=800</v>
      </c>
      <c r="AB90" s="36" t="str">
        <f t="shared" si="20"/>
        <v>rokprognozy=2036 i lp=800</v>
      </c>
      <c r="AC90" s="36" t="str">
        <f t="shared" si="20"/>
        <v>rokprognozy=2037 i lp=800</v>
      </c>
      <c r="AD90" s="36" t="str">
        <f t="shared" si="18"/>
        <v>rokprognozy=2038 i lp=800</v>
      </c>
      <c r="AE90" s="36" t="str">
        <f t="shared" si="18"/>
        <v>rokprognozy=2039 i lp=800</v>
      </c>
      <c r="AF90" s="36" t="str">
        <f t="shared" si="18"/>
        <v>rokprognozy=2040 i lp=800</v>
      </c>
      <c r="AG90" s="36" t="str">
        <f t="shared" si="18"/>
        <v>rokprognozy=2041 i lp=800</v>
      </c>
      <c r="AH90" s="36" t="str">
        <f t="shared" si="18"/>
        <v>rokprognozy=2042 i lp=800</v>
      </c>
    </row>
    <row r="91" spans="1:34" ht="11.25">
      <c r="A91" s="35">
        <v>810</v>
      </c>
      <c r="B91" s="35">
        <v>13.2</v>
      </c>
      <c r="C91" s="36" t="s">
        <v>144</v>
      </c>
      <c r="D91" s="36" t="str">
        <f t="shared" si="17"/>
        <v>rokprognozy=2013 i lp=810</v>
      </c>
      <c r="E91" s="36" t="str">
        <f t="shared" si="19"/>
        <v>rokprognozy=2013 i lp=810</v>
      </c>
      <c r="F91" s="36" t="str">
        <f t="shared" si="19"/>
        <v>rokprognozy=2014 i lp=810</v>
      </c>
      <c r="G91" s="36" t="str">
        <f t="shared" si="19"/>
        <v>rokprognozy=2015 i lp=810</v>
      </c>
      <c r="H91" s="36" t="str">
        <f t="shared" si="19"/>
        <v>rokprognozy=2016 i lp=810</v>
      </c>
      <c r="I91" s="36" t="str">
        <f t="shared" si="19"/>
        <v>rokprognozy=2017 i lp=810</v>
      </c>
      <c r="J91" s="36" t="str">
        <f t="shared" si="19"/>
        <v>rokprognozy=2018 i lp=810</v>
      </c>
      <c r="K91" s="36" t="str">
        <f t="shared" si="19"/>
        <v>rokprognozy=2019 i lp=810</v>
      </c>
      <c r="L91" s="36" t="str">
        <f t="shared" si="19"/>
        <v>rokprognozy=2020 i lp=810</v>
      </c>
      <c r="M91" s="36" t="str">
        <f t="shared" si="19"/>
        <v>rokprognozy=2021 i lp=810</v>
      </c>
      <c r="N91" s="36" t="str">
        <f t="shared" si="20"/>
        <v>rokprognozy=2022 i lp=810</v>
      </c>
      <c r="O91" s="36" t="str">
        <f t="shared" si="20"/>
        <v>rokprognozy=2023 i lp=810</v>
      </c>
      <c r="P91" s="36" t="str">
        <f t="shared" si="20"/>
        <v>rokprognozy=2024 i lp=810</v>
      </c>
      <c r="Q91" s="36" t="str">
        <f t="shared" si="20"/>
        <v>rokprognozy=2025 i lp=810</v>
      </c>
      <c r="R91" s="36" t="str">
        <f t="shared" si="20"/>
        <v>rokprognozy=2026 i lp=810</v>
      </c>
      <c r="S91" s="36" t="str">
        <f t="shared" si="20"/>
        <v>rokprognozy=2027 i lp=810</v>
      </c>
      <c r="T91" s="36" t="str">
        <f t="shared" si="20"/>
        <v>rokprognozy=2028 i lp=810</v>
      </c>
      <c r="U91" s="36" t="str">
        <f t="shared" si="20"/>
        <v>rokprognozy=2029 i lp=810</v>
      </c>
      <c r="V91" s="36" t="str">
        <f t="shared" si="20"/>
        <v>rokprognozy=2030 i lp=810</v>
      </c>
      <c r="W91" s="36" t="str">
        <f t="shared" si="20"/>
        <v>rokprognozy=2031 i lp=810</v>
      </c>
      <c r="X91" s="36" t="str">
        <f t="shared" si="20"/>
        <v>rokprognozy=2032 i lp=810</v>
      </c>
      <c r="Y91" s="36" t="str">
        <f t="shared" si="20"/>
        <v>rokprognozy=2033 i lp=810</v>
      </c>
      <c r="Z91" s="36" t="str">
        <f t="shared" si="20"/>
        <v>rokprognozy=2034 i lp=810</v>
      </c>
      <c r="AA91" s="36" t="str">
        <f t="shared" si="20"/>
        <v>rokprognozy=2035 i lp=810</v>
      </c>
      <c r="AB91" s="36" t="str">
        <f t="shared" si="20"/>
        <v>rokprognozy=2036 i lp=810</v>
      </c>
      <c r="AC91" s="36" t="str">
        <f t="shared" si="20"/>
        <v>rokprognozy=2037 i lp=810</v>
      </c>
      <c r="AD91" s="36" t="str">
        <f t="shared" si="18"/>
        <v>rokprognozy=2038 i lp=810</v>
      </c>
      <c r="AE91" s="36" t="str">
        <f t="shared" si="18"/>
        <v>rokprognozy=2039 i lp=810</v>
      </c>
      <c r="AF91" s="36" t="str">
        <f t="shared" si="18"/>
        <v>rokprognozy=2040 i lp=810</v>
      </c>
      <c r="AG91" s="36" t="str">
        <f t="shared" si="18"/>
        <v>rokprognozy=2041 i lp=810</v>
      </c>
      <c r="AH91" s="36" t="str">
        <f t="shared" si="18"/>
        <v>rokprognozy=2042 i lp=810</v>
      </c>
    </row>
    <row r="92" spans="1:34" ht="11.25">
      <c r="A92" s="35">
        <v>820</v>
      </c>
      <c r="B92" s="35">
        <v>13.3</v>
      </c>
      <c r="C92" s="36" t="s">
        <v>145</v>
      </c>
      <c r="D92" s="36" t="str">
        <f t="shared" si="17"/>
        <v>rokprognozy=2013 i lp=820</v>
      </c>
      <c r="E92" s="36" t="str">
        <f t="shared" si="19"/>
        <v>rokprognozy=2013 i lp=820</v>
      </c>
      <c r="F92" s="36" t="str">
        <f t="shared" si="19"/>
        <v>rokprognozy=2014 i lp=820</v>
      </c>
      <c r="G92" s="36" t="str">
        <f t="shared" si="19"/>
        <v>rokprognozy=2015 i lp=820</v>
      </c>
      <c r="H92" s="36" t="str">
        <f t="shared" si="19"/>
        <v>rokprognozy=2016 i lp=820</v>
      </c>
      <c r="I92" s="36" t="str">
        <f t="shared" si="19"/>
        <v>rokprognozy=2017 i lp=820</v>
      </c>
      <c r="J92" s="36" t="str">
        <f t="shared" si="19"/>
        <v>rokprognozy=2018 i lp=820</v>
      </c>
      <c r="K92" s="36" t="str">
        <f t="shared" si="19"/>
        <v>rokprognozy=2019 i lp=820</v>
      </c>
      <c r="L92" s="36" t="str">
        <f t="shared" si="19"/>
        <v>rokprognozy=2020 i lp=820</v>
      </c>
      <c r="M92" s="36" t="str">
        <f t="shared" si="19"/>
        <v>rokprognozy=2021 i lp=820</v>
      </c>
      <c r="N92" s="36" t="str">
        <f t="shared" si="20"/>
        <v>rokprognozy=2022 i lp=820</v>
      </c>
      <c r="O92" s="36" t="str">
        <f t="shared" si="20"/>
        <v>rokprognozy=2023 i lp=820</v>
      </c>
      <c r="P92" s="36" t="str">
        <f t="shared" si="20"/>
        <v>rokprognozy=2024 i lp=820</v>
      </c>
      <c r="Q92" s="36" t="str">
        <f t="shared" si="20"/>
        <v>rokprognozy=2025 i lp=820</v>
      </c>
      <c r="R92" s="36" t="str">
        <f t="shared" si="20"/>
        <v>rokprognozy=2026 i lp=820</v>
      </c>
      <c r="S92" s="36" t="str">
        <f t="shared" si="20"/>
        <v>rokprognozy=2027 i lp=820</v>
      </c>
      <c r="T92" s="36" t="str">
        <f t="shared" si="20"/>
        <v>rokprognozy=2028 i lp=820</v>
      </c>
      <c r="U92" s="36" t="str">
        <f t="shared" si="20"/>
        <v>rokprognozy=2029 i lp=820</v>
      </c>
      <c r="V92" s="36" t="str">
        <f t="shared" si="20"/>
        <v>rokprognozy=2030 i lp=820</v>
      </c>
      <c r="W92" s="36" t="str">
        <f t="shared" si="20"/>
        <v>rokprognozy=2031 i lp=820</v>
      </c>
      <c r="X92" s="36" t="str">
        <f t="shared" si="20"/>
        <v>rokprognozy=2032 i lp=820</v>
      </c>
      <c r="Y92" s="36" t="str">
        <f t="shared" si="20"/>
        <v>rokprognozy=2033 i lp=820</v>
      </c>
      <c r="Z92" s="36" t="str">
        <f t="shared" si="20"/>
        <v>rokprognozy=2034 i lp=820</v>
      </c>
      <c r="AA92" s="36" t="str">
        <f t="shared" si="20"/>
        <v>rokprognozy=2035 i lp=820</v>
      </c>
      <c r="AB92" s="36" t="str">
        <f t="shared" si="20"/>
        <v>rokprognozy=2036 i lp=820</v>
      </c>
      <c r="AC92" s="36" t="str">
        <f t="shared" si="20"/>
        <v>rokprognozy=2037 i lp=820</v>
      </c>
      <c r="AD92" s="36" t="str">
        <f aca="true" t="shared" si="21" ref="AD92:AH104">+"rokprognozy="&amp;AD$9&amp;" i lp="&amp;$A92</f>
        <v>rokprognozy=2038 i lp=820</v>
      </c>
      <c r="AE92" s="36" t="str">
        <f t="shared" si="21"/>
        <v>rokprognozy=2039 i lp=820</v>
      </c>
      <c r="AF92" s="36" t="str">
        <f t="shared" si="21"/>
        <v>rokprognozy=2040 i lp=820</v>
      </c>
      <c r="AG92" s="36" t="str">
        <f t="shared" si="21"/>
        <v>rokprognozy=2041 i lp=820</v>
      </c>
      <c r="AH92" s="36" t="str">
        <f t="shared" si="21"/>
        <v>rokprognozy=2042 i lp=820</v>
      </c>
    </row>
    <row r="93" spans="1:34" ht="11.25">
      <c r="A93" s="35">
        <v>830</v>
      </c>
      <c r="B93" s="35">
        <v>13.4</v>
      </c>
      <c r="C93" s="36" t="s">
        <v>146</v>
      </c>
      <c r="D93" s="36" t="str">
        <f t="shared" si="17"/>
        <v>rokprognozy=2013 i lp=830</v>
      </c>
      <c r="E93" s="36" t="str">
        <f t="shared" si="19"/>
        <v>rokprognozy=2013 i lp=830</v>
      </c>
      <c r="F93" s="36" t="str">
        <f t="shared" si="19"/>
        <v>rokprognozy=2014 i lp=830</v>
      </c>
      <c r="G93" s="36" t="str">
        <f t="shared" si="19"/>
        <v>rokprognozy=2015 i lp=830</v>
      </c>
      <c r="H93" s="36" t="str">
        <f t="shared" si="19"/>
        <v>rokprognozy=2016 i lp=830</v>
      </c>
      <c r="I93" s="36" t="str">
        <f t="shared" si="19"/>
        <v>rokprognozy=2017 i lp=830</v>
      </c>
      <c r="J93" s="36" t="str">
        <f t="shared" si="19"/>
        <v>rokprognozy=2018 i lp=830</v>
      </c>
      <c r="K93" s="36" t="str">
        <f t="shared" si="19"/>
        <v>rokprognozy=2019 i lp=830</v>
      </c>
      <c r="L93" s="36" t="str">
        <f t="shared" si="19"/>
        <v>rokprognozy=2020 i lp=830</v>
      </c>
      <c r="M93" s="36" t="str">
        <f t="shared" si="19"/>
        <v>rokprognozy=2021 i lp=830</v>
      </c>
      <c r="N93" s="36" t="str">
        <f t="shared" si="20"/>
        <v>rokprognozy=2022 i lp=830</v>
      </c>
      <c r="O93" s="36" t="str">
        <f t="shared" si="20"/>
        <v>rokprognozy=2023 i lp=830</v>
      </c>
      <c r="P93" s="36" t="str">
        <f t="shared" si="20"/>
        <v>rokprognozy=2024 i lp=830</v>
      </c>
      <c r="Q93" s="36" t="str">
        <f t="shared" si="20"/>
        <v>rokprognozy=2025 i lp=830</v>
      </c>
      <c r="R93" s="36" t="str">
        <f t="shared" si="20"/>
        <v>rokprognozy=2026 i lp=830</v>
      </c>
      <c r="S93" s="36" t="str">
        <f t="shared" si="20"/>
        <v>rokprognozy=2027 i lp=830</v>
      </c>
      <c r="T93" s="36" t="str">
        <f t="shared" si="20"/>
        <v>rokprognozy=2028 i lp=830</v>
      </c>
      <c r="U93" s="36" t="str">
        <f t="shared" si="20"/>
        <v>rokprognozy=2029 i lp=830</v>
      </c>
      <c r="V93" s="36" t="str">
        <f t="shared" si="20"/>
        <v>rokprognozy=2030 i lp=830</v>
      </c>
      <c r="W93" s="36" t="str">
        <f t="shared" si="20"/>
        <v>rokprognozy=2031 i lp=830</v>
      </c>
      <c r="X93" s="36" t="str">
        <f t="shared" si="20"/>
        <v>rokprognozy=2032 i lp=830</v>
      </c>
      <c r="Y93" s="36" t="str">
        <f t="shared" si="20"/>
        <v>rokprognozy=2033 i lp=830</v>
      </c>
      <c r="Z93" s="36" t="str">
        <f t="shared" si="20"/>
        <v>rokprognozy=2034 i lp=830</v>
      </c>
      <c r="AA93" s="36" t="str">
        <f t="shared" si="20"/>
        <v>rokprognozy=2035 i lp=830</v>
      </c>
      <c r="AB93" s="36" t="str">
        <f t="shared" si="20"/>
        <v>rokprognozy=2036 i lp=830</v>
      </c>
      <c r="AC93" s="36" t="str">
        <f t="shared" si="20"/>
        <v>rokprognozy=2037 i lp=830</v>
      </c>
      <c r="AD93" s="36" t="str">
        <f t="shared" si="21"/>
        <v>rokprognozy=2038 i lp=830</v>
      </c>
      <c r="AE93" s="36" t="str">
        <f t="shared" si="21"/>
        <v>rokprognozy=2039 i lp=830</v>
      </c>
      <c r="AF93" s="36" t="str">
        <f t="shared" si="21"/>
        <v>rokprognozy=2040 i lp=830</v>
      </c>
      <c r="AG93" s="36" t="str">
        <f t="shared" si="21"/>
        <v>rokprognozy=2041 i lp=830</v>
      </c>
      <c r="AH93" s="36" t="str">
        <f t="shared" si="21"/>
        <v>rokprognozy=2042 i lp=830</v>
      </c>
    </row>
    <row r="94" spans="1:34" ht="11.25">
      <c r="A94" s="35">
        <v>840</v>
      </c>
      <c r="B94" s="35">
        <v>13.5</v>
      </c>
      <c r="C94" s="36" t="s">
        <v>147</v>
      </c>
      <c r="D94" s="36" t="str">
        <f t="shared" si="17"/>
        <v>rokprognozy=2013 i lp=840</v>
      </c>
      <c r="E94" s="36" t="str">
        <f t="shared" si="19"/>
        <v>rokprognozy=2013 i lp=840</v>
      </c>
      <c r="F94" s="36" t="str">
        <f t="shared" si="19"/>
        <v>rokprognozy=2014 i lp=840</v>
      </c>
      <c r="G94" s="36" t="str">
        <f t="shared" si="19"/>
        <v>rokprognozy=2015 i lp=840</v>
      </c>
      <c r="H94" s="36" t="str">
        <f t="shared" si="19"/>
        <v>rokprognozy=2016 i lp=840</v>
      </c>
      <c r="I94" s="36" t="str">
        <f t="shared" si="19"/>
        <v>rokprognozy=2017 i lp=840</v>
      </c>
      <c r="J94" s="36" t="str">
        <f t="shared" si="19"/>
        <v>rokprognozy=2018 i lp=840</v>
      </c>
      <c r="K94" s="36" t="str">
        <f t="shared" si="19"/>
        <v>rokprognozy=2019 i lp=840</v>
      </c>
      <c r="L94" s="36" t="str">
        <f t="shared" si="19"/>
        <v>rokprognozy=2020 i lp=840</v>
      </c>
      <c r="M94" s="36" t="str">
        <f t="shared" si="19"/>
        <v>rokprognozy=2021 i lp=840</v>
      </c>
      <c r="N94" s="36" t="str">
        <f t="shared" si="20"/>
        <v>rokprognozy=2022 i lp=840</v>
      </c>
      <c r="O94" s="36" t="str">
        <f t="shared" si="20"/>
        <v>rokprognozy=2023 i lp=840</v>
      </c>
      <c r="P94" s="36" t="str">
        <f t="shared" si="20"/>
        <v>rokprognozy=2024 i lp=840</v>
      </c>
      <c r="Q94" s="36" t="str">
        <f t="shared" si="20"/>
        <v>rokprognozy=2025 i lp=840</v>
      </c>
      <c r="R94" s="36" t="str">
        <f t="shared" si="20"/>
        <v>rokprognozy=2026 i lp=840</v>
      </c>
      <c r="S94" s="36" t="str">
        <f t="shared" si="20"/>
        <v>rokprognozy=2027 i lp=840</v>
      </c>
      <c r="T94" s="36" t="str">
        <f t="shared" si="20"/>
        <v>rokprognozy=2028 i lp=840</v>
      </c>
      <c r="U94" s="36" t="str">
        <f t="shared" si="20"/>
        <v>rokprognozy=2029 i lp=840</v>
      </c>
      <c r="V94" s="36" t="str">
        <f t="shared" si="20"/>
        <v>rokprognozy=2030 i lp=840</v>
      </c>
      <c r="W94" s="36" t="str">
        <f t="shared" si="20"/>
        <v>rokprognozy=2031 i lp=840</v>
      </c>
      <c r="X94" s="36" t="str">
        <f t="shared" si="20"/>
        <v>rokprognozy=2032 i lp=840</v>
      </c>
      <c r="Y94" s="36" t="str">
        <f t="shared" si="20"/>
        <v>rokprognozy=2033 i lp=840</v>
      </c>
      <c r="Z94" s="36" t="str">
        <f t="shared" si="20"/>
        <v>rokprognozy=2034 i lp=840</v>
      </c>
      <c r="AA94" s="36" t="str">
        <f t="shared" si="20"/>
        <v>rokprognozy=2035 i lp=840</v>
      </c>
      <c r="AB94" s="36" t="str">
        <f t="shared" si="20"/>
        <v>rokprognozy=2036 i lp=840</v>
      </c>
      <c r="AC94" s="36" t="str">
        <f t="shared" si="20"/>
        <v>rokprognozy=2037 i lp=840</v>
      </c>
      <c r="AD94" s="36" t="str">
        <f t="shared" si="21"/>
        <v>rokprognozy=2038 i lp=840</v>
      </c>
      <c r="AE94" s="36" t="str">
        <f t="shared" si="21"/>
        <v>rokprognozy=2039 i lp=840</v>
      </c>
      <c r="AF94" s="36" t="str">
        <f t="shared" si="21"/>
        <v>rokprognozy=2040 i lp=840</v>
      </c>
      <c r="AG94" s="36" t="str">
        <f t="shared" si="21"/>
        <v>rokprognozy=2041 i lp=840</v>
      </c>
      <c r="AH94" s="36" t="str">
        <f t="shared" si="21"/>
        <v>rokprognozy=2042 i lp=840</v>
      </c>
    </row>
    <row r="95" spans="1:34" ht="11.25">
      <c r="A95" s="35">
        <v>850</v>
      </c>
      <c r="B95" s="35">
        <v>13.6</v>
      </c>
      <c r="C95" s="36" t="s">
        <v>148</v>
      </c>
      <c r="D95" s="36" t="str">
        <f t="shared" si="17"/>
        <v>rokprognozy=2013 i lp=850</v>
      </c>
      <c r="E95" s="36" t="str">
        <f t="shared" si="19"/>
        <v>rokprognozy=2013 i lp=850</v>
      </c>
      <c r="F95" s="36" t="str">
        <f t="shared" si="19"/>
        <v>rokprognozy=2014 i lp=850</v>
      </c>
      <c r="G95" s="36" t="str">
        <f t="shared" si="19"/>
        <v>rokprognozy=2015 i lp=850</v>
      </c>
      <c r="H95" s="36" t="str">
        <f t="shared" si="19"/>
        <v>rokprognozy=2016 i lp=850</v>
      </c>
      <c r="I95" s="36" t="str">
        <f t="shared" si="19"/>
        <v>rokprognozy=2017 i lp=850</v>
      </c>
      <c r="J95" s="36" t="str">
        <f t="shared" si="19"/>
        <v>rokprognozy=2018 i lp=850</v>
      </c>
      <c r="K95" s="36" t="str">
        <f t="shared" si="19"/>
        <v>rokprognozy=2019 i lp=850</v>
      </c>
      <c r="L95" s="36" t="str">
        <f t="shared" si="19"/>
        <v>rokprognozy=2020 i lp=850</v>
      </c>
      <c r="M95" s="36" t="str">
        <f t="shared" si="19"/>
        <v>rokprognozy=2021 i lp=850</v>
      </c>
      <c r="N95" s="36" t="str">
        <f t="shared" si="20"/>
        <v>rokprognozy=2022 i lp=850</v>
      </c>
      <c r="O95" s="36" t="str">
        <f t="shared" si="20"/>
        <v>rokprognozy=2023 i lp=850</v>
      </c>
      <c r="P95" s="36" t="str">
        <f t="shared" si="20"/>
        <v>rokprognozy=2024 i lp=850</v>
      </c>
      <c r="Q95" s="36" t="str">
        <f t="shared" si="20"/>
        <v>rokprognozy=2025 i lp=850</v>
      </c>
      <c r="R95" s="36" t="str">
        <f t="shared" si="20"/>
        <v>rokprognozy=2026 i lp=850</v>
      </c>
      <c r="S95" s="36" t="str">
        <f t="shared" si="20"/>
        <v>rokprognozy=2027 i lp=850</v>
      </c>
      <c r="T95" s="36" t="str">
        <f t="shared" si="20"/>
        <v>rokprognozy=2028 i lp=850</v>
      </c>
      <c r="U95" s="36" t="str">
        <f t="shared" si="20"/>
        <v>rokprognozy=2029 i lp=850</v>
      </c>
      <c r="V95" s="36" t="str">
        <f t="shared" si="20"/>
        <v>rokprognozy=2030 i lp=850</v>
      </c>
      <c r="W95" s="36" t="str">
        <f t="shared" si="20"/>
        <v>rokprognozy=2031 i lp=850</v>
      </c>
      <c r="X95" s="36" t="str">
        <f t="shared" si="20"/>
        <v>rokprognozy=2032 i lp=850</v>
      </c>
      <c r="Y95" s="36" t="str">
        <f t="shared" si="20"/>
        <v>rokprognozy=2033 i lp=850</v>
      </c>
      <c r="Z95" s="36" t="str">
        <f t="shared" si="20"/>
        <v>rokprognozy=2034 i lp=850</v>
      </c>
      <c r="AA95" s="36" t="str">
        <f t="shared" si="20"/>
        <v>rokprognozy=2035 i lp=850</v>
      </c>
      <c r="AB95" s="36" t="str">
        <f t="shared" si="20"/>
        <v>rokprognozy=2036 i lp=850</v>
      </c>
      <c r="AC95" s="36" t="str">
        <f t="shared" si="20"/>
        <v>rokprognozy=2037 i lp=850</v>
      </c>
      <c r="AD95" s="36" t="str">
        <f t="shared" si="21"/>
        <v>rokprognozy=2038 i lp=850</v>
      </c>
      <c r="AE95" s="36" t="str">
        <f t="shared" si="21"/>
        <v>rokprognozy=2039 i lp=850</v>
      </c>
      <c r="AF95" s="36" t="str">
        <f t="shared" si="21"/>
        <v>rokprognozy=2040 i lp=850</v>
      </c>
      <c r="AG95" s="36" t="str">
        <f t="shared" si="21"/>
        <v>rokprognozy=2041 i lp=850</v>
      </c>
      <c r="AH95" s="36" t="str">
        <f t="shared" si="21"/>
        <v>rokprognozy=2042 i lp=850</v>
      </c>
    </row>
    <row r="96" spans="1:34" ht="11.25">
      <c r="A96" s="35">
        <v>860</v>
      </c>
      <c r="B96" s="35">
        <v>13.7</v>
      </c>
      <c r="C96" s="36" t="s">
        <v>149</v>
      </c>
      <c r="D96" s="36" t="str">
        <f t="shared" si="17"/>
        <v>rokprognozy=2013 i lp=860</v>
      </c>
      <c r="E96" s="36" t="str">
        <f t="shared" si="19"/>
        <v>rokprognozy=2013 i lp=860</v>
      </c>
      <c r="F96" s="36" t="str">
        <f t="shared" si="19"/>
        <v>rokprognozy=2014 i lp=860</v>
      </c>
      <c r="G96" s="36" t="str">
        <f t="shared" si="19"/>
        <v>rokprognozy=2015 i lp=860</v>
      </c>
      <c r="H96" s="36" t="str">
        <f t="shared" si="19"/>
        <v>rokprognozy=2016 i lp=860</v>
      </c>
      <c r="I96" s="36" t="str">
        <f t="shared" si="19"/>
        <v>rokprognozy=2017 i lp=860</v>
      </c>
      <c r="J96" s="36" t="str">
        <f t="shared" si="19"/>
        <v>rokprognozy=2018 i lp=860</v>
      </c>
      <c r="K96" s="36" t="str">
        <f t="shared" si="19"/>
        <v>rokprognozy=2019 i lp=860</v>
      </c>
      <c r="L96" s="36" t="str">
        <f t="shared" si="19"/>
        <v>rokprognozy=2020 i lp=860</v>
      </c>
      <c r="M96" s="36" t="str">
        <f t="shared" si="19"/>
        <v>rokprognozy=2021 i lp=860</v>
      </c>
      <c r="N96" s="36" t="str">
        <f t="shared" si="20"/>
        <v>rokprognozy=2022 i lp=860</v>
      </c>
      <c r="O96" s="36" t="str">
        <f t="shared" si="20"/>
        <v>rokprognozy=2023 i lp=860</v>
      </c>
      <c r="P96" s="36" t="str">
        <f t="shared" si="20"/>
        <v>rokprognozy=2024 i lp=860</v>
      </c>
      <c r="Q96" s="36" t="str">
        <f t="shared" si="20"/>
        <v>rokprognozy=2025 i lp=860</v>
      </c>
      <c r="R96" s="36" t="str">
        <f t="shared" si="20"/>
        <v>rokprognozy=2026 i lp=860</v>
      </c>
      <c r="S96" s="36" t="str">
        <f t="shared" si="20"/>
        <v>rokprognozy=2027 i lp=860</v>
      </c>
      <c r="T96" s="36" t="str">
        <f t="shared" si="20"/>
        <v>rokprognozy=2028 i lp=860</v>
      </c>
      <c r="U96" s="36" t="str">
        <f t="shared" si="20"/>
        <v>rokprognozy=2029 i lp=860</v>
      </c>
      <c r="V96" s="36" t="str">
        <f t="shared" si="20"/>
        <v>rokprognozy=2030 i lp=860</v>
      </c>
      <c r="W96" s="36" t="str">
        <f t="shared" si="20"/>
        <v>rokprognozy=2031 i lp=860</v>
      </c>
      <c r="X96" s="36" t="str">
        <f t="shared" si="20"/>
        <v>rokprognozy=2032 i lp=860</v>
      </c>
      <c r="Y96" s="36" t="str">
        <f t="shared" si="20"/>
        <v>rokprognozy=2033 i lp=860</v>
      </c>
      <c r="Z96" s="36" t="str">
        <f t="shared" si="20"/>
        <v>rokprognozy=2034 i lp=860</v>
      </c>
      <c r="AA96" s="36" t="str">
        <f t="shared" si="20"/>
        <v>rokprognozy=2035 i lp=860</v>
      </c>
      <c r="AB96" s="36" t="str">
        <f t="shared" si="20"/>
        <v>rokprognozy=2036 i lp=860</v>
      </c>
      <c r="AC96" s="36" t="str">
        <f t="shared" si="20"/>
        <v>rokprognozy=2037 i lp=860</v>
      </c>
      <c r="AD96" s="36" t="str">
        <f t="shared" si="21"/>
        <v>rokprognozy=2038 i lp=860</v>
      </c>
      <c r="AE96" s="36" t="str">
        <f t="shared" si="21"/>
        <v>rokprognozy=2039 i lp=860</v>
      </c>
      <c r="AF96" s="36" t="str">
        <f t="shared" si="21"/>
        <v>rokprognozy=2040 i lp=860</v>
      </c>
      <c r="AG96" s="36" t="str">
        <f t="shared" si="21"/>
        <v>rokprognozy=2041 i lp=860</v>
      </c>
      <c r="AH96" s="36" t="str">
        <f t="shared" si="21"/>
        <v>rokprognozy=2042 i lp=860</v>
      </c>
    </row>
    <row r="97" spans="1:34" ht="11.25">
      <c r="A97" s="35">
        <v>870</v>
      </c>
      <c r="B97" s="35">
        <v>14</v>
      </c>
      <c r="C97" s="36" t="s">
        <v>150</v>
      </c>
      <c r="D97" s="36" t="str">
        <f t="shared" si="17"/>
        <v>rokprognozy=2013 i lp=870</v>
      </c>
      <c r="E97" s="36" t="str">
        <f t="shared" si="19"/>
        <v>rokprognozy=2013 i lp=870</v>
      </c>
      <c r="F97" s="36" t="str">
        <f t="shared" si="19"/>
        <v>rokprognozy=2014 i lp=870</v>
      </c>
      <c r="G97" s="36" t="str">
        <f t="shared" si="19"/>
        <v>rokprognozy=2015 i lp=870</v>
      </c>
      <c r="H97" s="36" t="str">
        <f t="shared" si="19"/>
        <v>rokprognozy=2016 i lp=870</v>
      </c>
      <c r="I97" s="36" t="str">
        <f t="shared" si="19"/>
        <v>rokprognozy=2017 i lp=870</v>
      </c>
      <c r="J97" s="36" t="str">
        <f t="shared" si="19"/>
        <v>rokprognozy=2018 i lp=870</v>
      </c>
      <c r="K97" s="36" t="str">
        <f t="shared" si="19"/>
        <v>rokprognozy=2019 i lp=870</v>
      </c>
      <c r="L97" s="36" t="str">
        <f t="shared" si="19"/>
        <v>rokprognozy=2020 i lp=870</v>
      </c>
      <c r="M97" s="36" t="str">
        <f t="shared" si="19"/>
        <v>rokprognozy=2021 i lp=870</v>
      </c>
      <c r="N97" s="36" t="str">
        <f t="shared" si="20"/>
        <v>rokprognozy=2022 i lp=870</v>
      </c>
      <c r="O97" s="36" t="str">
        <f t="shared" si="20"/>
        <v>rokprognozy=2023 i lp=870</v>
      </c>
      <c r="P97" s="36" t="str">
        <f t="shared" si="20"/>
        <v>rokprognozy=2024 i lp=870</v>
      </c>
      <c r="Q97" s="36" t="str">
        <f t="shared" si="20"/>
        <v>rokprognozy=2025 i lp=870</v>
      </c>
      <c r="R97" s="36" t="str">
        <f t="shared" si="20"/>
        <v>rokprognozy=2026 i lp=870</v>
      </c>
      <c r="S97" s="36" t="str">
        <f t="shared" si="20"/>
        <v>rokprognozy=2027 i lp=870</v>
      </c>
      <c r="T97" s="36" t="str">
        <f t="shared" si="20"/>
        <v>rokprognozy=2028 i lp=870</v>
      </c>
      <c r="U97" s="36" t="str">
        <f t="shared" si="20"/>
        <v>rokprognozy=2029 i lp=870</v>
      </c>
      <c r="V97" s="36" t="str">
        <f t="shared" si="20"/>
        <v>rokprognozy=2030 i lp=870</v>
      </c>
      <c r="W97" s="36" t="str">
        <f t="shared" si="20"/>
        <v>rokprognozy=2031 i lp=870</v>
      </c>
      <c r="X97" s="36" t="str">
        <f t="shared" si="20"/>
        <v>rokprognozy=2032 i lp=870</v>
      </c>
      <c r="Y97" s="36" t="str">
        <f t="shared" si="20"/>
        <v>rokprognozy=2033 i lp=870</v>
      </c>
      <c r="Z97" s="36" t="str">
        <f t="shared" si="20"/>
        <v>rokprognozy=2034 i lp=870</v>
      </c>
      <c r="AA97" s="36" t="str">
        <f t="shared" si="20"/>
        <v>rokprognozy=2035 i lp=870</v>
      </c>
      <c r="AB97" s="36" t="str">
        <f t="shared" si="20"/>
        <v>rokprognozy=2036 i lp=870</v>
      </c>
      <c r="AC97" s="36" t="str">
        <f t="shared" si="20"/>
        <v>rokprognozy=2037 i lp=870</v>
      </c>
      <c r="AD97" s="36" t="str">
        <f t="shared" si="21"/>
        <v>rokprognozy=2038 i lp=870</v>
      </c>
      <c r="AE97" s="36" t="str">
        <f t="shared" si="21"/>
        <v>rokprognozy=2039 i lp=870</v>
      </c>
      <c r="AF97" s="36" t="str">
        <f t="shared" si="21"/>
        <v>rokprognozy=2040 i lp=870</v>
      </c>
      <c r="AG97" s="36" t="str">
        <f t="shared" si="21"/>
        <v>rokprognozy=2041 i lp=870</v>
      </c>
      <c r="AH97" s="36" t="str">
        <f t="shared" si="21"/>
        <v>rokprognozy=2042 i lp=870</v>
      </c>
    </row>
    <row r="98" spans="1:34" ht="11.25">
      <c r="A98" s="35">
        <v>880</v>
      </c>
      <c r="B98" s="35">
        <v>14.1</v>
      </c>
      <c r="C98" s="36" t="s">
        <v>151</v>
      </c>
      <c r="D98" s="36" t="str">
        <f t="shared" si="17"/>
        <v>rokprognozy=2013 i lp=880</v>
      </c>
      <c r="E98" s="36" t="str">
        <f t="shared" si="19"/>
        <v>rokprognozy=2013 i lp=880</v>
      </c>
      <c r="F98" s="36" t="str">
        <f t="shared" si="19"/>
        <v>rokprognozy=2014 i lp=880</v>
      </c>
      <c r="G98" s="36" t="str">
        <f t="shared" si="19"/>
        <v>rokprognozy=2015 i lp=880</v>
      </c>
      <c r="H98" s="36" t="str">
        <f t="shared" si="19"/>
        <v>rokprognozy=2016 i lp=880</v>
      </c>
      <c r="I98" s="36" t="str">
        <f t="shared" si="19"/>
        <v>rokprognozy=2017 i lp=880</v>
      </c>
      <c r="J98" s="36" t="str">
        <f t="shared" si="19"/>
        <v>rokprognozy=2018 i lp=880</v>
      </c>
      <c r="K98" s="36" t="str">
        <f t="shared" si="19"/>
        <v>rokprognozy=2019 i lp=880</v>
      </c>
      <c r="L98" s="36" t="str">
        <f t="shared" si="19"/>
        <v>rokprognozy=2020 i lp=880</v>
      </c>
      <c r="M98" s="36" t="str">
        <f t="shared" si="19"/>
        <v>rokprognozy=2021 i lp=880</v>
      </c>
      <c r="N98" s="36" t="str">
        <f t="shared" si="20"/>
        <v>rokprognozy=2022 i lp=880</v>
      </c>
      <c r="O98" s="36" t="str">
        <f t="shared" si="20"/>
        <v>rokprognozy=2023 i lp=880</v>
      </c>
      <c r="P98" s="36" t="str">
        <f t="shared" si="20"/>
        <v>rokprognozy=2024 i lp=880</v>
      </c>
      <c r="Q98" s="36" t="str">
        <f t="shared" si="20"/>
        <v>rokprognozy=2025 i lp=880</v>
      </c>
      <c r="R98" s="36" t="str">
        <f t="shared" si="20"/>
        <v>rokprognozy=2026 i lp=880</v>
      </c>
      <c r="S98" s="36" t="str">
        <f t="shared" si="20"/>
        <v>rokprognozy=2027 i lp=880</v>
      </c>
      <c r="T98" s="36" t="str">
        <f t="shared" si="20"/>
        <v>rokprognozy=2028 i lp=880</v>
      </c>
      <c r="U98" s="36" t="str">
        <f t="shared" si="20"/>
        <v>rokprognozy=2029 i lp=880</v>
      </c>
      <c r="V98" s="36" t="str">
        <f t="shared" si="20"/>
        <v>rokprognozy=2030 i lp=880</v>
      </c>
      <c r="W98" s="36" t="str">
        <f t="shared" si="20"/>
        <v>rokprognozy=2031 i lp=880</v>
      </c>
      <c r="X98" s="36" t="str">
        <f t="shared" si="20"/>
        <v>rokprognozy=2032 i lp=880</v>
      </c>
      <c r="Y98" s="36" t="str">
        <f t="shared" si="20"/>
        <v>rokprognozy=2033 i lp=880</v>
      </c>
      <c r="Z98" s="36" t="str">
        <f t="shared" si="20"/>
        <v>rokprognozy=2034 i lp=880</v>
      </c>
      <c r="AA98" s="36" t="str">
        <f t="shared" si="20"/>
        <v>rokprognozy=2035 i lp=880</v>
      </c>
      <c r="AB98" s="36" t="str">
        <f t="shared" si="20"/>
        <v>rokprognozy=2036 i lp=880</v>
      </c>
      <c r="AC98" s="36" t="str">
        <f t="shared" si="20"/>
        <v>rokprognozy=2037 i lp=880</v>
      </c>
      <c r="AD98" s="36" t="str">
        <f t="shared" si="21"/>
        <v>rokprognozy=2038 i lp=880</v>
      </c>
      <c r="AE98" s="36" t="str">
        <f t="shared" si="21"/>
        <v>rokprognozy=2039 i lp=880</v>
      </c>
      <c r="AF98" s="36" t="str">
        <f t="shared" si="21"/>
        <v>rokprognozy=2040 i lp=880</v>
      </c>
      <c r="AG98" s="36" t="str">
        <f t="shared" si="21"/>
        <v>rokprognozy=2041 i lp=880</v>
      </c>
      <c r="AH98" s="36" t="str">
        <f t="shared" si="21"/>
        <v>rokprognozy=2042 i lp=880</v>
      </c>
    </row>
    <row r="99" spans="1:34" ht="11.25">
      <c r="A99" s="35">
        <v>890</v>
      </c>
      <c r="B99" s="35">
        <v>14.2</v>
      </c>
      <c r="C99" s="36" t="s">
        <v>152</v>
      </c>
      <c r="D99" s="36" t="str">
        <f t="shared" si="17"/>
        <v>rokprognozy=2013 i lp=890</v>
      </c>
      <c r="E99" s="36" t="str">
        <f t="shared" si="19"/>
        <v>rokprognozy=2013 i lp=890</v>
      </c>
      <c r="F99" s="36" t="str">
        <f t="shared" si="19"/>
        <v>rokprognozy=2014 i lp=890</v>
      </c>
      <c r="G99" s="36" t="str">
        <f t="shared" si="19"/>
        <v>rokprognozy=2015 i lp=890</v>
      </c>
      <c r="H99" s="36" t="str">
        <f t="shared" si="19"/>
        <v>rokprognozy=2016 i lp=890</v>
      </c>
      <c r="I99" s="36" t="str">
        <f t="shared" si="19"/>
        <v>rokprognozy=2017 i lp=890</v>
      </c>
      <c r="J99" s="36" t="str">
        <f t="shared" si="19"/>
        <v>rokprognozy=2018 i lp=890</v>
      </c>
      <c r="K99" s="36" t="str">
        <f t="shared" si="19"/>
        <v>rokprognozy=2019 i lp=890</v>
      </c>
      <c r="L99" s="36" t="str">
        <f t="shared" si="19"/>
        <v>rokprognozy=2020 i lp=890</v>
      </c>
      <c r="M99" s="36" t="str">
        <f t="shared" si="19"/>
        <v>rokprognozy=2021 i lp=890</v>
      </c>
      <c r="N99" s="36" t="str">
        <f t="shared" si="20"/>
        <v>rokprognozy=2022 i lp=890</v>
      </c>
      <c r="O99" s="36" t="str">
        <f t="shared" si="20"/>
        <v>rokprognozy=2023 i lp=890</v>
      </c>
      <c r="P99" s="36" t="str">
        <f t="shared" si="20"/>
        <v>rokprognozy=2024 i lp=890</v>
      </c>
      <c r="Q99" s="36" t="str">
        <f t="shared" si="20"/>
        <v>rokprognozy=2025 i lp=890</v>
      </c>
      <c r="R99" s="36" t="str">
        <f t="shared" si="20"/>
        <v>rokprognozy=2026 i lp=890</v>
      </c>
      <c r="S99" s="36" t="str">
        <f t="shared" si="20"/>
        <v>rokprognozy=2027 i lp=890</v>
      </c>
      <c r="T99" s="36" t="str">
        <f t="shared" si="20"/>
        <v>rokprognozy=2028 i lp=890</v>
      </c>
      <c r="U99" s="36" t="str">
        <f t="shared" si="20"/>
        <v>rokprognozy=2029 i lp=890</v>
      </c>
      <c r="V99" s="36" t="str">
        <f t="shared" si="20"/>
        <v>rokprognozy=2030 i lp=890</v>
      </c>
      <c r="W99" s="36" t="str">
        <f t="shared" si="20"/>
        <v>rokprognozy=2031 i lp=890</v>
      </c>
      <c r="X99" s="36" t="str">
        <f t="shared" si="20"/>
        <v>rokprognozy=2032 i lp=890</v>
      </c>
      <c r="Y99" s="36" t="str">
        <f t="shared" si="20"/>
        <v>rokprognozy=2033 i lp=890</v>
      </c>
      <c r="Z99" s="36" t="str">
        <f t="shared" si="20"/>
        <v>rokprognozy=2034 i lp=890</v>
      </c>
      <c r="AA99" s="36" t="str">
        <f t="shared" si="20"/>
        <v>rokprognozy=2035 i lp=890</v>
      </c>
      <c r="AB99" s="36" t="str">
        <f t="shared" si="20"/>
        <v>rokprognozy=2036 i lp=890</v>
      </c>
      <c r="AC99" s="36" t="str">
        <f t="shared" si="20"/>
        <v>rokprognozy=2037 i lp=890</v>
      </c>
      <c r="AD99" s="36" t="str">
        <f t="shared" si="21"/>
        <v>rokprognozy=2038 i lp=890</v>
      </c>
      <c r="AE99" s="36" t="str">
        <f t="shared" si="21"/>
        <v>rokprognozy=2039 i lp=890</v>
      </c>
      <c r="AF99" s="36" t="str">
        <f t="shared" si="21"/>
        <v>rokprognozy=2040 i lp=890</v>
      </c>
      <c r="AG99" s="36" t="str">
        <f t="shared" si="21"/>
        <v>rokprognozy=2041 i lp=890</v>
      </c>
      <c r="AH99" s="36" t="str">
        <f t="shared" si="21"/>
        <v>rokprognozy=2042 i lp=890</v>
      </c>
    </row>
    <row r="100" spans="1:34" ht="11.25">
      <c r="A100" s="35">
        <v>900</v>
      </c>
      <c r="B100" s="35">
        <v>14.3</v>
      </c>
      <c r="C100" s="36" t="s">
        <v>153</v>
      </c>
      <c r="D100" s="36" t="str">
        <f t="shared" si="17"/>
        <v>rokprognozy=2013 i lp=900</v>
      </c>
      <c r="E100" s="36" t="str">
        <f t="shared" si="19"/>
        <v>rokprognozy=2013 i lp=900</v>
      </c>
      <c r="F100" s="36" t="str">
        <f t="shared" si="19"/>
        <v>rokprognozy=2014 i lp=900</v>
      </c>
      <c r="G100" s="36" t="str">
        <f t="shared" si="19"/>
        <v>rokprognozy=2015 i lp=900</v>
      </c>
      <c r="H100" s="36" t="str">
        <f t="shared" si="19"/>
        <v>rokprognozy=2016 i lp=900</v>
      </c>
      <c r="I100" s="36" t="str">
        <f t="shared" si="19"/>
        <v>rokprognozy=2017 i lp=900</v>
      </c>
      <c r="J100" s="36" t="str">
        <f t="shared" si="19"/>
        <v>rokprognozy=2018 i lp=900</v>
      </c>
      <c r="K100" s="36" t="str">
        <f t="shared" si="19"/>
        <v>rokprognozy=2019 i lp=900</v>
      </c>
      <c r="L100" s="36" t="str">
        <f t="shared" si="19"/>
        <v>rokprognozy=2020 i lp=900</v>
      </c>
      <c r="M100" s="36" t="str">
        <f t="shared" si="19"/>
        <v>rokprognozy=2021 i lp=900</v>
      </c>
      <c r="N100" s="36" t="str">
        <f t="shared" si="20"/>
        <v>rokprognozy=2022 i lp=900</v>
      </c>
      <c r="O100" s="36" t="str">
        <f t="shared" si="20"/>
        <v>rokprognozy=2023 i lp=900</v>
      </c>
      <c r="P100" s="36" t="str">
        <f t="shared" si="20"/>
        <v>rokprognozy=2024 i lp=900</v>
      </c>
      <c r="Q100" s="36" t="str">
        <f t="shared" si="20"/>
        <v>rokprognozy=2025 i lp=900</v>
      </c>
      <c r="R100" s="36" t="str">
        <f t="shared" si="20"/>
        <v>rokprognozy=2026 i lp=900</v>
      </c>
      <c r="S100" s="36" t="str">
        <f t="shared" si="20"/>
        <v>rokprognozy=2027 i lp=900</v>
      </c>
      <c r="T100" s="36" t="str">
        <f t="shared" si="20"/>
        <v>rokprognozy=2028 i lp=900</v>
      </c>
      <c r="U100" s="36" t="str">
        <f t="shared" si="20"/>
        <v>rokprognozy=2029 i lp=900</v>
      </c>
      <c r="V100" s="36" t="str">
        <f t="shared" si="20"/>
        <v>rokprognozy=2030 i lp=900</v>
      </c>
      <c r="W100" s="36" t="str">
        <f t="shared" si="20"/>
        <v>rokprognozy=2031 i lp=900</v>
      </c>
      <c r="X100" s="36" t="str">
        <f t="shared" si="20"/>
        <v>rokprognozy=2032 i lp=900</v>
      </c>
      <c r="Y100" s="36" t="str">
        <f t="shared" si="20"/>
        <v>rokprognozy=2033 i lp=900</v>
      </c>
      <c r="Z100" s="36" t="str">
        <f t="shared" si="20"/>
        <v>rokprognozy=2034 i lp=900</v>
      </c>
      <c r="AA100" s="36" t="str">
        <f t="shared" si="20"/>
        <v>rokprognozy=2035 i lp=900</v>
      </c>
      <c r="AB100" s="36" t="str">
        <f t="shared" si="20"/>
        <v>rokprognozy=2036 i lp=900</v>
      </c>
      <c r="AC100" s="36" t="str">
        <f t="shared" si="20"/>
        <v>rokprognozy=2037 i lp=900</v>
      </c>
      <c r="AD100" s="36" t="str">
        <f t="shared" si="21"/>
        <v>rokprognozy=2038 i lp=900</v>
      </c>
      <c r="AE100" s="36" t="str">
        <f t="shared" si="21"/>
        <v>rokprognozy=2039 i lp=900</v>
      </c>
      <c r="AF100" s="36" t="str">
        <f t="shared" si="21"/>
        <v>rokprognozy=2040 i lp=900</v>
      </c>
      <c r="AG100" s="36" t="str">
        <f t="shared" si="21"/>
        <v>rokprognozy=2041 i lp=900</v>
      </c>
      <c r="AH100" s="36" t="str">
        <f t="shared" si="21"/>
        <v>rokprognozy=2042 i lp=900</v>
      </c>
    </row>
    <row r="101" spans="1:34" ht="11.25">
      <c r="A101" s="35">
        <v>910</v>
      </c>
      <c r="B101" s="35" t="s">
        <v>154</v>
      </c>
      <c r="C101" s="36" t="s">
        <v>155</v>
      </c>
      <c r="D101" s="36" t="str">
        <f t="shared" si="17"/>
        <v>rokprognozy=2013 i lp=910</v>
      </c>
      <c r="E101" s="36" t="str">
        <f t="shared" si="19"/>
        <v>rokprognozy=2013 i lp=910</v>
      </c>
      <c r="F101" s="36" t="str">
        <f t="shared" si="19"/>
        <v>rokprognozy=2014 i lp=910</v>
      </c>
      <c r="G101" s="36" t="str">
        <f t="shared" si="19"/>
        <v>rokprognozy=2015 i lp=910</v>
      </c>
      <c r="H101" s="36" t="str">
        <f t="shared" si="19"/>
        <v>rokprognozy=2016 i lp=910</v>
      </c>
      <c r="I101" s="36" t="str">
        <f t="shared" si="19"/>
        <v>rokprognozy=2017 i lp=910</v>
      </c>
      <c r="J101" s="36" t="str">
        <f t="shared" si="19"/>
        <v>rokprognozy=2018 i lp=910</v>
      </c>
      <c r="K101" s="36" t="str">
        <f t="shared" si="19"/>
        <v>rokprognozy=2019 i lp=910</v>
      </c>
      <c r="L101" s="36" t="str">
        <f t="shared" si="19"/>
        <v>rokprognozy=2020 i lp=910</v>
      </c>
      <c r="M101" s="36" t="str">
        <f t="shared" si="19"/>
        <v>rokprognozy=2021 i lp=910</v>
      </c>
      <c r="N101" s="36" t="str">
        <f t="shared" si="20"/>
        <v>rokprognozy=2022 i lp=910</v>
      </c>
      <c r="O101" s="36" t="str">
        <f t="shared" si="20"/>
        <v>rokprognozy=2023 i lp=910</v>
      </c>
      <c r="P101" s="36" t="str">
        <f t="shared" si="20"/>
        <v>rokprognozy=2024 i lp=910</v>
      </c>
      <c r="Q101" s="36" t="str">
        <f t="shared" si="20"/>
        <v>rokprognozy=2025 i lp=910</v>
      </c>
      <c r="R101" s="36" t="str">
        <f t="shared" si="20"/>
        <v>rokprognozy=2026 i lp=910</v>
      </c>
      <c r="S101" s="36" t="str">
        <f t="shared" si="20"/>
        <v>rokprognozy=2027 i lp=910</v>
      </c>
      <c r="T101" s="36" t="str">
        <f t="shared" si="20"/>
        <v>rokprognozy=2028 i lp=910</v>
      </c>
      <c r="U101" s="36" t="str">
        <f t="shared" si="20"/>
        <v>rokprognozy=2029 i lp=910</v>
      </c>
      <c r="V101" s="36" t="str">
        <f t="shared" si="20"/>
        <v>rokprognozy=2030 i lp=910</v>
      </c>
      <c r="W101" s="36" t="str">
        <f t="shared" si="20"/>
        <v>rokprognozy=2031 i lp=910</v>
      </c>
      <c r="X101" s="36" t="str">
        <f t="shared" si="20"/>
        <v>rokprognozy=2032 i lp=910</v>
      </c>
      <c r="Y101" s="36" t="str">
        <f t="shared" si="20"/>
        <v>rokprognozy=2033 i lp=910</v>
      </c>
      <c r="Z101" s="36" t="str">
        <f t="shared" si="20"/>
        <v>rokprognozy=2034 i lp=910</v>
      </c>
      <c r="AA101" s="36" t="str">
        <f t="shared" si="20"/>
        <v>rokprognozy=2035 i lp=910</v>
      </c>
      <c r="AB101" s="36" t="str">
        <f t="shared" si="20"/>
        <v>rokprognozy=2036 i lp=910</v>
      </c>
      <c r="AC101" s="36" t="str">
        <f t="shared" si="20"/>
        <v>rokprognozy=2037 i lp=910</v>
      </c>
      <c r="AD101" s="36" t="str">
        <f t="shared" si="21"/>
        <v>rokprognozy=2038 i lp=910</v>
      </c>
      <c r="AE101" s="36" t="str">
        <f t="shared" si="21"/>
        <v>rokprognozy=2039 i lp=910</v>
      </c>
      <c r="AF101" s="36" t="str">
        <f t="shared" si="21"/>
        <v>rokprognozy=2040 i lp=910</v>
      </c>
      <c r="AG101" s="36" t="str">
        <f t="shared" si="21"/>
        <v>rokprognozy=2041 i lp=910</v>
      </c>
      <c r="AH101" s="36" t="str">
        <f t="shared" si="21"/>
        <v>rokprognozy=2042 i lp=910</v>
      </c>
    </row>
    <row r="102" spans="1:34" ht="11.25">
      <c r="A102" s="35">
        <v>920</v>
      </c>
      <c r="B102" s="35" t="s">
        <v>156</v>
      </c>
      <c r="C102" s="36" t="s">
        <v>157</v>
      </c>
      <c r="D102" s="36" t="str">
        <f t="shared" si="17"/>
        <v>rokprognozy=2013 i lp=920</v>
      </c>
      <c r="E102" s="36" t="str">
        <f t="shared" si="19"/>
        <v>rokprognozy=2013 i lp=920</v>
      </c>
      <c r="F102" s="36" t="str">
        <f t="shared" si="19"/>
        <v>rokprognozy=2014 i lp=920</v>
      </c>
      <c r="G102" s="36" t="str">
        <f t="shared" si="19"/>
        <v>rokprognozy=2015 i lp=920</v>
      </c>
      <c r="H102" s="36" t="str">
        <f t="shared" si="19"/>
        <v>rokprognozy=2016 i lp=920</v>
      </c>
      <c r="I102" s="36" t="str">
        <f t="shared" si="19"/>
        <v>rokprognozy=2017 i lp=920</v>
      </c>
      <c r="J102" s="36" t="str">
        <f t="shared" si="19"/>
        <v>rokprognozy=2018 i lp=920</v>
      </c>
      <c r="K102" s="36" t="str">
        <f t="shared" si="19"/>
        <v>rokprognozy=2019 i lp=920</v>
      </c>
      <c r="L102" s="36" t="str">
        <f t="shared" si="19"/>
        <v>rokprognozy=2020 i lp=920</v>
      </c>
      <c r="M102" s="36" t="str">
        <f t="shared" si="19"/>
        <v>rokprognozy=2021 i lp=920</v>
      </c>
      <c r="N102" s="36" t="str">
        <f t="shared" si="20"/>
        <v>rokprognozy=2022 i lp=920</v>
      </c>
      <c r="O102" s="36" t="str">
        <f t="shared" si="20"/>
        <v>rokprognozy=2023 i lp=920</v>
      </c>
      <c r="P102" s="36" t="str">
        <f t="shared" si="20"/>
        <v>rokprognozy=2024 i lp=920</v>
      </c>
      <c r="Q102" s="36" t="str">
        <f t="shared" si="20"/>
        <v>rokprognozy=2025 i lp=920</v>
      </c>
      <c r="R102" s="36" t="str">
        <f t="shared" si="20"/>
        <v>rokprognozy=2026 i lp=920</v>
      </c>
      <c r="S102" s="36" t="str">
        <f t="shared" si="20"/>
        <v>rokprognozy=2027 i lp=920</v>
      </c>
      <c r="T102" s="36" t="str">
        <f t="shared" si="20"/>
        <v>rokprognozy=2028 i lp=920</v>
      </c>
      <c r="U102" s="36" t="str">
        <f t="shared" si="20"/>
        <v>rokprognozy=2029 i lp=920</v>
      </c>
      <c r="V102" s="36" t="str">
        <f t="shared" si="20"/>
        <v>rokprognozy=2030 i lp=920</v>
      </c>
      <c r="W102" s="36" t="str">
        <f t="shared" si="20"/>
        <v>rokprognozy=2031 i lp=920</v>
      </c>
      <c r="X102" s="36" t="str">
        <f t="shared" si="20"/>
        <v>rokprognozy=2032 i lp=920</v>
      </c>
      <c r="Y102" s="36" t="str">
        <f t="shared" si="20"/>
        <v>rokprognozy=2033 i lp=920</v>
      </c>
      <c r="Z102" s="36" t="str">
        <f t="shared" si="20"/>
        <v>rokprognozy=2034 i lp=920</v>
      </c>
      <c r="AA102" s="36" t="str">
        <f t="shared" si="20"/>
        <v>rokprognozy=2035 i lp=920</v>
      </c>
      <c r="AB102" s="36" t="str">
        <f t="shared" si="20"/>
        <v>rokprognozy=2036 i lp=920</v>
      </c>
      <c r="AC102" s="36" t="str">
        <f t="shared" si="20"/>
        <v>rokprognozy=2037 i lp=920</v>
      </c>
      <c r="AD102" s="36" t="str">
        <f t="shared" si="21"/>
        <v>rokprognozy=2038 i lp=920</v>
      </c>
      <c r="AE102" s="36" t="str">
        <f t="shared" si="21"/>
        <v>rokprognozy=2039 i lp=920</v>
      </c>
      <c r="AF102" s="36" t="str">
        <f t="shared" si="21"/>
        <v>rokprognozy=2040 i lp=920</v>
      </c>
      <c r="AG102" s="36" t="str">
        <f t="shared" si="21"/>
        <v>rokprognozy=2041 i lp=920</v>
      </c>
      <c r="AH102" s="36" t="str">
        <f t="shared" si="21"/>
        <v>rokprognozy=2042 i lp=920</v>
      </c>
    </row>
    <row r="103" spans="1:34" ht="11.25">
      <c r="A103" s="35">
        <v>930</v>
      </c>
      <c r="B103" s="35" t="s">
        <v>158</v>
      </c>
      <c r="C103" s="36" t="s">
        <v>159</v>
      </c>
      <c r="D103" s="36" t="str">
        <f t="shared" si="17"/>
        <v>rokprognozy=2013 i lp=930</v>
      </c>
      <c r="E103" s="36" t="str">
        <f t="shared" si="19"/>
        <v>rokprognozy=2013 i lp=930</v>
      </c>
      <c r="F103" s="36" t="str">
        <f t="shared" si="19"/>
        <v>rokprognozy=2014 i lp=930</v>
      </c>
      <c r="G103" s="36" t="str">
        <f t="shared" si="19"/>
        <v>rokprognozy=2015 i lp=930</v>
      </c>
      <c r="H103" s="36" t="str">
        <f t="shared" si="19"/>
        <v>rokprognozy=2016 i lp=930</v>
      </c>
      <c r="I103" s="36" t="str">
        <f t="shared" si="19"/>
        <v>rokprognozy=2017 i lp=930</v>
      </c>
      <c r="J103" s="36" t="str">
        <f t="shared" si="19"/>
        <v>rokprognozy=2018 i lp=930</v>
      </c>
      <c r="K103" s="36" t="str">
        <f t="shared" si="19"/>
        <v>rokprognozy=2019 i lp=930</v>
      </c>
      <c r="L103" s="36" t="str">
        <f t="shared" si="19"/>
        <v>rokprognozy=2020 i lp=930</v>
      </c>
      <c r="M103" s="36" t="str">
        <f t="shared" si="19"/>
        <v>rokprognozy=2021 i lp=930</v>
      </c>
      <c r="N103" s="36" t="str">
        <f t="shared" si="20"/>
        <v>rokprognozy=2022 i lp=930</v>
      </c>
      <c r="O103" s="36" t="str">
        <f t="shared" si="20"/>
        <v>rokprognozy=2023 i lp=930</v>
      </c>
      <c r="P103" s="36" t="str">
        <f t="shared" si="20"/>
        <v>rokprognozy=2024 i lp=930</v>
      </c>
      <c r="Q103" s="36" t="str">
        <f t="shared" si="20"/>
        <v>rokprognozy=2025 i lp=930</v>
      </c>
      <c r="R103" s="36" t="str">
        <f t="shared" si="20"/>
        <v>rokprognozy=2026 i lp=930</v>
      </c>
      <c r="S103" s="36" t="str">
        <f t="shared" si="20"/>
        <v>rokprognozy=2027 i lp=930</v>
      </c>
      <c r="T103" s="36" t="str">
        <f t="shared" si="20"/>
        <v>rokprognozy=2028 i lp=930</v>
      </c>
      <c r="U103" s="36" t="str">
        <f t="shared" si="20"/>
        <v>rokprognozy=2029 i lp=930</v>
      </c>
      <c r="V103" s="36" t="str">
        <f t="shared" si="20"/>
        <v>rokprognozy=2030 i lp=930</v>
      </c>
      <c r="W103" s="36" t="str">
        <f t="shared" si="20"/>
        <v>rokprognozy=2031 i lp=930</v>
      </c>
      <c r="X103" s="36" t="str">
        <f t="shared" si="20"/>
        <v>rokprognozy=2032 i lp=930</v>
      </c>
      <c r="Y103" s="36" t="str">
        <f t="shared" si="20"/>
        <v>rokprognozy=2033 i lp=930</v>
      </c>
      <c r="Z103" s="36" t="str">
        <f t="shared" si="20"/>
        <v>rokprognozy=2034 i lp=930</v>
      </c>
      <c r="AA103" s="36" t="str">
        <f t="shared" si="20"/>
        <v>rokprognozy=2035 i lp=930</v>
      </c>
      <c r="AB103" s="36" t="str">
        <f t="shared" si="20"/>
        <v>rokprognozy=2036 i lp=930</v>
      </c>
      <c r="AC103" s="36" t="str">
        <f t="shared" si="20"/>
        <v>rokprognozy=2037 i lp=930</v>
      </c>
      <c r="AD103" s="36" t="str">
        <f t="shared" si="21"/>
        <v>rokprognozy=2038 i lp=930</v>
      </c>
      <c r="AE103" s="36" t="str">
        <f t="shared" si="21"/>
        <v>rokprognozy=2039 i lp=930</v>
      </c>
      <c r="AF103" s="36" t="str">
        <f t="shared" si="21"/>
        <v>rokprognozy=2040 i lp=930</v>
      </c>
      <c r="AG103" s="36" t="str">
        <f t="shared" si="21"/>
        <v>rokprognozy=2041 i lp=930</v>
      </c>
      <c r="AH103" s="36" t="str">
        <f t="shared" si="21"/>
        <v>rokprognozy=2042 i lp=930</v>
      </c>
    </row>
    <row r="104" spans="1:34" ht="11.25">
      <c r="A104" s="35">
        <v>940</v>
      </c>
      <c r="B104" s="35">
        <v>14.4</v>
      </c>
      <c r="C104" s="36" t="s">
        <v>160</v>
      </c>
      <c r="D104" s="36" t="str">
        <f t="shared" si="17"/>
        <v>rokprognozy=2013 i lp=940</v>
      </c>
      <c r="E104" s="36" t="str">
        <f t="shared" si="19"/>
        <v>rokprognozy=2013 i lp=940</v>
      </c>
      <c r="F104" s="36" t="str">
        <f t="shared" si="19"/>
        <v>rokprognozy=2014 i lp=940</v>
      </c>
      <c r="G104" s="36" t="str">
        <f t="shared" si="19"/>
        <v>rokprognozy=2015 i lp=940</v>
      </c>
      <c r="H104" s="36" t="str">
        <f t="shared" si="19"/>
        <v>rokprognozy=2016 i lp=940</v>
      </c>
      <c r="I104" s="36" t="str">
        <f t="shared" si="19"/>
        <v>rokprognozy=2017 i lp=940</v>
      </c>
      <c r="J104" s="36" t="str">
        <f t="shared" si="19"/>
        <v>rokprognozy=2018 i lp=940</v>
      </c>
      <c r="K104" s="36" t="str">
        <f t="shared" si="19"/>
        <v>rokprognozy=2019 i lp=940</v>
      </c>
      <c r="L104" s="36" t="str">
        <f t="shared" si="19"/>
        <v>rokprognozy=2020 i lp=940</v>
      </c>
      <c r="M104" s="36" t="str">
        <f t="shared" si="19"/>
        <v>rokprognozy=2021 i lp=940</v>
      </c>
      <c r="N104" s="36" t="str">
        <f t="shared" si="20"/>
        <v>rokprognozy=2022 i lp=940</v>
      </c>
      <c r="O104" s="36" t="str">
        <f t="shared" si="20"/>
        <v>rokprognozy=2023 i lp=940</v>
      </c>
      <c r="P104" s="36" t="str">
        <f t="shared" si="20"/>
        <v>rokprognozy=2024 i lp=940</v>
      </c>
      <c r="Q104" s="36" t="str">
        <f t="shared" si="20"/>
        <v>rokprognozy=2025 i lp=940</v>
      </c>
      <c r="R104" s="36" t="str">
        <f t="shared" si="20"/>
        <v>rokprognozy=2026 i lp=940</v>
      </c>
      <c r="S104" s="36" t="str">
        <f t="shared" si="20"/>
        <v>rokprognozy=2027 i lp=940</v>
      </c>
      <c r="T104" s="36" t="str">
        <f aca="true" t="shared" si="22" ref="T104:AC104">+"rokprognozy="&amp;T$9&amp;" i lp="&amp;$A104</f>
        <v>rokprognozy=2028 i lp=940</v>
      </c>
      <c r="U104" s="36" t="str">
        <f t="shared" si="22"/>
        <v>rokprognozy=2029 i lp=940</v>
      </c>
      <c r="V104" s="36" t="str">
        <f t="shared" si="22"/>
        <v>rokprognozy=2030 i lp=940</v>
      </c>
      <c r="W104" s="36" t="str">
        <f t="shared" si="22"/>
        <v>rokprognozy=2031 i lp=940</v>
      </c>
      <c r="X104" s="36" t="str">
        <f t="shared" si="22"/>
        <v>rokprognozy=2032 i lp=940</v>
      </c>
      <c r="Y104" s="36" t="str">
        <f t="shared" si="22"/>
        <v>rokprognozy=2033 i lp=940</v>
      </c>
      <c r="Z104" s="36" t="str">
        <f t="shared" si="22"/>
        <v>rokprognozy=2034 i lp=940</v>
      </c>
      <c r="AA104" s="36" t="str">
        <f t="shared" si="22"/>
        <v>rokprognozy=2035 i lp=940</v>
      </c>
      <c r="AB104" s="36" t="str">
        <f t="shared" si="22"/>
        <v>rokprognozy=2036 i lp=940</v>
      </c>
      <c r="AC104" s="36" t="str">
        <f t="shared" si="22"/>
        <v>rokprognozy=2037 i lp=940</v>
      </c>
      <c r="AD104" s="36" t="str">
        <f t="shared" si="21"/>
        <v>rokprognozy=2038 i lp=940</v>
      </c>
      <c r="AE104" s="36" t="str">
        <f t="shared" si="21"/>
        <v>rokprognozy=2039 i lp=940</v>
      </c>
      <c r="AF104" s="36" t="str">
        <f t="shared" si="21"/>
        <v>rokprognozy=2040 i lp=940</v>
      </c>
      <c r="AG104" s="36" t="str">
        <f t="shared" si="21"/>
        <v>rokprognozy=2041 i lp=940</v>
      </c>
      <c r="AH104" s="36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568"/>
  <sheetViews>
    <sheetView zoomScalePageLayoutView="0" workbookViewId="0" topLeftCell="A1">
      <selection activeCell="O4" sqref="O4:O56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268</v>
      </c>
      <c r="P1">
        <f>MAX(L:L)</f>
        <v>2026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453</v>
      </c>
      <c r="C4" s="18" t="s">
        <v>454</v>
      </c>
      <c r="D4" s="19">
        <v>223000</v>
      </c>
      <c r="E4" s="19">
        <v>0</v>
      </c>
      <c r="F4" s="19"/>
      <c r="G4" s="19">
        <v>130</v>
      </c>
      <c r="H4" s="19">
        <v>2.1</v>
      </c>
      <c r="I4" s="19"/>
      <c r="J4" s="19" t="s">
        <v>58</v>
      </c>
      <c r="K4" s="19" t="b">
        <v>1</v>
      </c>
      <c r="L4" s="15">
        <v>2017</v>
      </c>
      <c r="M4" s="16">
        <v>78293580</v>
      </c>
      <c r="N4" s="20">
        <v>41451</v>
      </c>
      <c r="O4" s="20">
        <v>41451</v>
      </c>
    </row>
    <row r="5" spans="1:15" ht="14.25">
      <c r="A5" s="17">
        <v>2013</v>
      </c>
      <c r="B5" s="18" t="s">
        <v>453</v>
      </c>
      <c r="C5" s="18" t="s">
        <v>454</v>
      </c>
      <c r="D5" s="19">
        <v>223000</v>
      </c>
      <c r="E5" s="19">
        <v>0</v>
      </c>
      <c r="F5" s="19"/>
      <c r="G5" s="19">
        <v>350</v>
      </c>
      <c r="H5" s="19">
        <v>6</v>
      </c>
      <c r="I5" s="19"/>
      <c r="J5" s="19" t="s">
        <v>27</v>
      </c>
      <c r="K5" s="19" t="b">
        <v>1</v>
      </c>
      <c r="L5" s="15">
        <v>2017</v>
      </c>
      <c r="M5" s="16">
        <v>17470326</v>
      </c>
      <c r="N5" s="20">
        <v>41451</v>
      </c>
      <c r="O5" s="20">
        <v>41451</v>
      </c>
    </row>
    <row r="6" spans="1:15" ht="14.25">
      <c r="A6" s="17">
        <v>2013</v>
      </c>
      <c r="B6" s="18" t="s">
        <v>453</v>
      </c>
      <c r="C6" s="18" t="s">
        <v>454</v>
      </c>
      <c r="D6" s="19">
        <v>223000</v>
      </c>
      <c r="E6" s="19">
        <v>0</v>
      </c>
      <c r="F6" s="19"/>
      <c r="G6" s="19">
        <v>190</v>
      </c>
      <c r="H6" s="19">
        <v>2.2</v>
      </c>
      <c r="I6" s="19"/>
      <c r="J6" s="19" t="s">
        <v>69</v>
      </c>
      <c r="K6" s="19" t="b">
        <v>0</v>
      </c>
      <c r="L6" s="15">
        <v>2014</v>
      </c>
      <c r="M6" s="16">
        <v>15902403</v>
      </c>
      <c r="N6" s="20">
        <v>41451</v>
      </c>
      <c r="O6" s="20">
        <v>41451</v>
      </c>
    </row>
    <row r="7" spans="1:15" ht="14.25">
      <c r="A7" s="17">
        <v>2013</v>
      </c>
      <c r="B7" s="18" t="s">
        <v>453</v>
      </c>
      <c r="C7" s="18" t="s">
        <v>454</v>
      </c>
      <c r="D7" s="19">
        <v>223000</v>
      </c>
      <c r="E7" s="19">
        <v>0</v>
      </c>
      <c r="F7" s="19"/>
      <c r="G7" s="19">
        <v>190</v>
      </c>
      <c r="H7" s="19">
        <v>2.2</v>
      </c>
      <c r="I7" s="19"/>
      <c r="J7" s="19" t="s">
        <v>69</v>
      </c>
      <c r="K7" s="19" t="b">
        <v>0</v>
      </c>
      <c r="L7" s="15">
        <v>2025</v>
      </c>
      <c r="M7" s="16">
        <v>660000</v>
      </c>
      <c r="N7" s="20">
        <v>41451</v>
      </c>
      <c r="O7" s="20">
        <v>41451</v>
      </c>
    </row>
    <row r="8" spans="1:15" ht="14.25">
      <c r="A8" s="17">
        <v>2013</v>
      </c>
      <c r="B8" s="18" t="s">
        <v>453</v>
      </c>
      <c r="C8" s="18" t="s">
        <v>454</v>
      </c>
      <c r="D8" s="19">
        <v>223000</v>
      </c>
      <c r="E8" s="19">
        <v>0</v>
      </c>
      <c r="F8" s="19"/>
      <c r="G8" s="19">
        <v>200</v>
      </c>
      <c r="H8" s="19">
        <v>3</v>
      </c>
      <c r="I8" s="19" t="s">
        <v>455</v>
      </c>
      <c r="J8" s="19" t="s">
        <v>23</v>
      </c>
      <c r="K8" s="19" t="b">
        <v>0</v>
      </c>
      <c r="L8" s="15">
        <v>2017</v>
      </c>
      <c r="M8" s="16">
        <v>2501733</v>
      </c>
      <c r="N8" s="20">
        <v>41451</v>
      </c>
      <c r="O8" s="20">
        <v>41451</v>
      </c>
    </row>
    <row r="9" spans="1:15" ht="14.25">
      <c r="A9" s="17">
        <v>2013</v>
      </c>
      <c r="B9" s="18" t="s">
        <v>453</v>
      </c>
      <c r="C9" s="18" t="s">
        <v>454</v>
      </c>
      <c r="D9" s="19">
        <v>223000</v>
      </c>
      <c r="E9" s="19">
        <v>0</v>
      </c>
      <c r="F9" s="19"/>
      <c r="G9" s="19">
        <v>420</v>
      </c>
      <c r="H9" s="19">
        <v>8.1</v>
      </c>
      <c r="I9" s="19" t="s">
        <v>456</v>
      </c>
      <c r="J9" s="19" t="s">
        <v>93</v>
      </c>
      <c r="K9" s="19" t="b">
        <v>0</v>
      </c>
      <c r="L9" s="15">
        <v>2023</v>
      </c>
      <c r="M9" s="16">
        <v>1654468</v>
      </c>
      <c r="N9" s="20">
        <v>41451</v>
      </c>
      <c r="O9" s="20">
        <v>41451</v>
      </c>
    </row>
    <row r="10" spans="1:15" ht="14.25">
      <c r="A10" s="17">
        <v>2013</v>
      </c>
      <c r="B10" s="18" t="s">
        <v>453</v>
      </c>
      <c r="C10" s="18" t="s">
        <v>454</v>
      </c>
      <c r="D10" s="19">
        <v>223000</v>
      </c>
      <c r="E10" s="19">
        <v>0</v>
      </c>
      <c r="F10" s="19"/>
      <c r="G10" s="19">
        <v>10</v>
      </c>
      <c r="H10" s="19">
        <v>1</v>
      </c>
      <c r="I10" s="19" t="s">
        <v>457</v>
      </c>
      <c r="J10" s="19" t="s">
        <v>26</v>
      </c>
      <c r="K10" s="19" t="b">
        <v>1</v>
      </c>
      <c r="L10" s="15">
        <v>2026</v>
      </c>
      <c r="M10" s="16">
        <v>89660000</v>
      </c>
      <c r="N10" s="20">
        <v>41451</v>
      </c>
      <c r="O10" s="20">
        <v>41451</v>
      </c>
    </row>
    <row r="11" spans="1:15" ht="14.25">
      <c r="A11" s="17">
        <v>2013</v>
      </c>
      <c r="B11" s="18" t="s">
        <v>453</v>
      </c>
      <c r="C11" s="18" t="s">
        <v>454</v>
      </c>
      <c r="D11" s="19">
        <v>223000</v>
      </c>
      <c r="E11" s="19">
        <v>0</v>
      </c>
      <c r="F11" s="19"/>
      <c r="G11" s="19">
        <v>300</v>
      </c>
      <c r="H11" s="19">
        <v>5</v>
      </c>
      <c r="I11" s="19" t="s">
        <v>458</v>
      </c>
      <c r="J11" s="19" t="s">
        <v>80</v>
      </c>
      <c r="K11" s="19" t="b">
        <v>0</v>
      </c>
      <c r="L11" s="15">
        <v>2016</v>
      </c>
      <c r="M11" s="16">
        <v>2501733</v>
      </c>
      <c r="N11" s="20">
        <v>41451</v>
      </c>
      <c r="O11" s="20">
        <v>41451</v>
      </c>
    </row>
    <row r="12" spans="1:15" ht="14.25">
      <c r="A12" s="17">
        <v>2013</v>
      </c>
      <c r="B12" s="18" t="s">
        <v>453</v>
      </c>
      <c r="C12" s="18" t="s">
        <v>454</v>
      </c>
      <c r="D12" s="19">
        <v>223000</v>
      </c>
      <c r="E12" s="19">
        <v>0</v>
      </c>
      <c r="F12" s="19"/>
      <c r="G12" s="19">
        <v>880</v>
      </c>
      <c r="H12" s="19">
        <v>14.1</v>
      </c>
      <c r="I12" s="19"/>
      <c r="J12" s="19" t="s">
        <v>151</v>
      </c>
      <c r="K12" s="19" t="b">
        <v>1</v>
      </c>
      <c r="L12" s="15">
        <v>2013</v>
      </c>
      <c r="M12" s="16">
        <v>4319913</v>
      </c>
      <c r="N12" s="20">
        <v>41451</v>
      </c>
      <c r="O12" s="20">
        <v>41451</v>
      </c>
    </row>
    <row r="13" spans="1:15" ht="14.25">
      <c r="A13" s="17">
        <v>2013</v>
      </c>
      <c r="B13" s="18" t="s">
        <v>453</v>
      </c>
      <c r="C13" s="18" t="s">
        <v>454</v>
      </c>
      <c r="D13" s="19">
        <v>223000</v>
      </c>
      <c r="E13" s="19">
        <v>0</v>
      </c>
      <c r="F13" s="19"/>
      <c r="G13" s="19">
        <v>130</v>
      </c>
      <c r="H13" s="19">
        <v>2.1</v>
      </c>
      <c r="I13" s="19"/>
      <c r="J13" s="19" t="s">
        <v>58</v>
      </c>
      <c r="K13" s="19" t="b">
        <v>1</v>
      </c>
      <c r="L13" s="15">
        <v>2021</v>
      </c>
      <c r="M13" s="16">
        <v>82060017</v>
      </c>
      <c r="N13" s="20">
        <v>41451</v>
      </c>
      <c r="O13" s="20">
        <v>41451</v>
      </c>
    </row>
    <row r="14" spans="1:15" ht="14.25">
      <c r="A14" s="17">
        <v>2013</v>
      </c>
      <c r="B14" s="18" t="s">
        <v>453</v>
      </c>
      <c r="C14" s="18" t="s">
        <v>454</v>
      </c>
      <c r="D14" s="19">
        <v>223000</v>
      </c>
      <c r="E14" s="19">
        <v>0</v>
      </c>
      <c r="F14" s="19"/>
      <c r="G14" s="19">
        <v>200</v>
      </c>
      <c r="H14" s="19">
        <v>3</v>
      </c>
      <c r="I14" s="19" t="s">
        <v>455</v>
      </c>
      <c r="J14" s="19" t="s">
        <v>23</v>
      </c>
      <c r="K14" s="19" t="b">
        <v>0</v>
      </c>
      <c r="L14" s="15">
        <v>2014</v>
      </c>
      <c r="M14" s="16">
        <v>4319922</v>
      </c>
      <c r="N14" s="20">
        <v>41451</v>
      </c>
      <c r="O14" s="20">
        <v>41451</v>
      </c>
    </row>
    <row r="15" spans="1:15" ht="14.25">
      <c r="A15" s="17">
        <v>2013</v>
      </c>
      <c r="B15" s="18" t="s">
        <v>453</v>
      </c>
      <c r="C15" s="18" t="s">
        <v>454</v>
      </c>
      <c r="D15" s="19">
        <v>223000</v>
      </c>
      <c r="E15" s="19">
        <v>0</v>
      </c>
      <c r="F15" s="19"/>
      <c r="G15" s="19">
        <v>450</v>
      </c>
      <c r="H15" s="19">
        <v>9.1</v>
      </c>
      <c r="I15" s="19" t="s">
        <v>459</v>
      </c>
      <c r="J15" s="19" t="s">
        <v>95</v>
      </c>
      <c r="K15" s="19" t="b">
        <v>1</v>
      </c>
      <c r="L15" s="15">
        <v>2019</v>
      </c>
      <c r="M15" s="16">
        <v>0.0395</v>
      </c>
      <c r="N15" s="20">
        <v>41451</v>
      </c>
      <c r="O15" s="20">
        <v>41451</v>
      </c>
    </row>
    <row r="16" spans="1:15" ht="14.25">
      <c r="A16" s="17">
        <v>2013</v>
      </c>
      <c r="B16" s="18" t="s">
        <v>453</v>
      </c>
      <c r="C16" s="18" t="s">
        <v>454</v>
      </c>
      <c r="D16" s="19">
        <v>223000</v>
      </c>
      <c r="E16" s="19">
        <v>0</v>
      </c>
      <c r="F16" s="19"/>
      <c r="G16" s="19">
        <v>560</v>
      </c>
      <c r="H16" s="19">
        <v>10.1</v>
      </c>
      <c r="I16" s="19"/>
      <c r="J16" s="19" t="s">
        <v>109</v>
      </c>
      <c r="K16" s="19" t="b">
        <v>0</v>
      </c>
      <c r="L16" s="15">
        <v>2025</v>
      </c>
      <c r="M16" s="16">
        <v>500000</v>
      </c>
      <c r="N16" s="20">
        <v>41451</v>
      </c>
      <c r="O16" s="20">
        <v>41451</v>
      </c>
    </row>
    <row r="17" spans="1:15" ht="14.25">
      <c r="A17" s="17">
        <v>2013</v>
      </c>
      <c r="B17" s="18" t="s">
        <v>453</v>
      </c>
      <c r="C17" s="18" t="s">
        <v>454</v>
      </c>
      <c r="D17" s="19">
        <v>223000</v>
      </c>
      <c r="E17" s="19">
        <v>0</v>
      </c>
      <c r="F17" s="19"/>
      <c r="G17" s="19">
        <v>540</v>
      </c>
      <c r="H17" s="19" t="s">
        <v>106</v>
      </c>
      <c r="I17" s="19" t="s">
        <v>460</v>
      </c>
      <c r="J17" s="19" t="s">
        <v>107</v>
      </c>
      <c r="K17" s="19" t="b">
        <v>0</v>
      </c>
      <c r="L17" s="15">
        <v>2023</v>
      </c>
      <c r="M17" s="16">
        <v>82</v>
      </c>
      <c r="N17" s="20">
        <v>41451</v>
      </c>
      <c r="O17" s="20">
        <v>41451</v>
      </c>
    </row>
    <row r="18" spans="1:15" ht="14.25">
      <c r="A18" s="17">
        <v>2013</v>
      </c>
      <c r="B18" s="18" t="s">
        <v>453</v>
      </c>
      <c r="C18" s="18" t="s">
        <v>454</v>
      </c>
      <c r="D18" s="19">
        <v>223000</v>
      </c>
      <c r="E18" s="19">
        <v>0</v>
      </c>
      <c r="F18" s="19"/>
      <c r="G18" s="19">
        <v>720</v>
      </c>
      <c r="H18" s="19" t="s">
        <v>130</v>
      </c>
      <c r="I18" s="19"/>
      <c r="J18" s="19" t="s">
        <v>131</v>
      </c>
      <c r="K18" s="19" t="b">
        <v>0</v>
      </c>
      <c r="L18" s="15">
        <v>2013</v>
      </c>
      <c r="M18" s="16">
        <v>179391</v>
      </c>
      <c r="N18" s="20">
        <v>41451</v>
      </c>
      <c r="O18" s="20">
        <v>41451</v>
      </c>
    </row>
    <row r="19" spans="1:15" ht="14.25">
      <c r="A19" s="17">
        <v>2013</v>
      </c>
      <c r="B19" s="18" t="s">
        <v>453</v>
      </c>
      <c r="C19" s="18" t="s">
        <v>454</v>
      </c>
      <c r="D19" s="19">
        <v>223000</v>
      </c>
      <c r="E19" s="19">
        <v>0</v>
      </c>
      <c r="F19" s="19"/>
      <c r="G19" s="19">
        <v>70</v>
      </c>
      <c r="H19" s="19" t="s">
        <v>49</v>
      </c>
      <c r="I19" s="19"/>
      <c r="J19" s="19" t="s">
        <v>50</v>
      </c>
      <c r="K19" s="19" t="b">
        <v>1</v>
      </c>
      <c r="L19" s="15">
        <v>2019</v>
      </c>
      <c r="M19" s="16">
        <v>25600000</v>
      </c>
      <c r="N19" s="20">
        <v>41451</v>
      </c>
      <c r="O19" s="20">
        <v>41451</v>
      </c>
    </row>
    <row r="20" spans="1:15" ht="14.25">
      <c r="A20" s="17">
        <v>2013</v>
      </c>
      <c r="B20" s="18" t="s">
        <v>453</v>
      </c>
      <c r="C20" s="18" t="s">
        <v>454</v>
      </c>
      <c r="D20" s="19">
        <v>223000</v>
      </c>
      <c r="E20" s="19">
        <v>0</v>
      </c>
      <c r="F20" s="19"/>
      <c r="G20" s="19">
        <v>50</v>
      </c>
      <c r="H20" s="19" t="s">
        <v>45</v>
      </c>
      <c r="I20" s="19"/>
      <c r="J20" s="19" t="s">
        <v>46</v>
      </c>
      <c r="K20" s="19" t="b">
        <v>1</v>
      </c>
      <c r="L20" s="15">
        <v>2024</v>
      </c>
      <c r="M20" s="16">
        <v>7600000</v>
      </c>
      <c r="N20" s="20">
        <v>41451</v>
      </c>
      <c r="O20" s="20">
        <v>41451</v>
      </c>
    </row>
    <row r="21" spans="1:15" ht="14.25">
      <c r="A21" s="17">
        <v>2013</v>
      </c>
      <c r="B21" s="18" t="s">
        <v>453</v>
      </c>
      <c r="C21" s="18" t="s">
        <v>454</v>
      </c>
      <c r="D21" s="19">
        <v>223000</v>
      </c>
      <c r="E21" s="19">
        <v>0</v>
      </c>
      <c r="F21" s="19"/>
      <c r="G21" s="19">
        <v>300</v>
      </c>
      <c r="H21" s="19">
        <v>5</v>
      </c>
      <c r="I21" s="19" t="s">
        <v>458</v>
      </c>
      <c r="J21" s="19" t="s">
        <v>80</v>
      </c>
      <c r="K21" s="19" t="b">
        <v>0</v>
      </c>
      <c r="L21" s="15">
        <v>2026</v>
      </c>
      <c r="M21" s="16">
        <v>500000</v>
      </c>
      <c r="N21" s="20">
        <v>41451</v>
      </c>
      <c r="O21" s="20">
        <v>41451</v>
      </c>
    </row>
    <row r="22" spans="1:15" ht="14.25">
      <c r="A22" s="17">
        <v>2013</v>
      </c>
      <c r="B22" s="18" t="s">
        <v>453</v>
      </c>
      <c r="C22" s="18" t="s">
        <v>454</v>
      </c>
      <c r="D22" s="19">
        <v>223000</v>
      </c>
      <c r="E22" s="19">
        <v>0</v>
      </c>
      <c r="F22" s="19"/>
      <c r="G22" s="19">
        <v>450</v>
      </c>
      <c r="H22" s="19">
        <v>9.1</v>
      </c>
      <c r="I22" s="19" t="s">
        <v>459</v>
      </c>
      <c r="J22" s="19" t="s">
        <v>95</v>
      </c>
      <c r="K22" s="19" t="b">
        <v>1</v>
      </c>
      <c r="L22" s="15">
        <v>2026</v>
      </c>
      <c r="M22" s="16">
        <v>0.0058</v>
      </c>
      <c r="N22" s="20">
        <v>41451</v>
      </c>
      <c r="O22" s="20">
        <v>41451</v>
      </c>
    </row>
    <row r="23" spans="1:15" ht="14.25">
      <c r="A23" s="17">
        <v>2013</v>
      </c>
      <c r="B23" s="18" t="s">
        <v>453</v>
      </c>
      <c r="C23" s="18" t="s">
        <v>454</v>
      </c>
      <c r="D23" s="19">
        <v>223000</v>
      </c>
      <c r="E23" s="19">
        <v>0</v>
      </c>
      <c r="F23" s="19"/>
      <c r="G23" s="19">
        <v>560</v>
      </c>
      <c r="H23" s="19">
        <v>10.1</v>
      </c>
      <c r="I23" s="19"/>
      <c r="J23" s="19" t="s">
        <v>109</v>
      </c>
      <c r="K23" s="19" t="b">
        <v>0</v>
      </c>
      <c r="L23" s="15">
        <v>2026</v>
      </c>
      <c r="M23" s="16">
        <v>500000</v>
      </c>
      <c r="N23" s="20">
        <v>41451</v>
      </c>
      <c r="O23" s="20">
        <v>41451</v>
      </c>
    </row>
    <row r="24" spans="1:15" ht="14.25">
      <c r="A24" s="17">
        <v>2013</v>
      </c>
      <c r="B24" s="18" t="s">
        <v>453</v>
      </c>
      <c r="C24" s="18" t="s">
        <v>454</v>
      </c>
      <c r="D24" s="19">
        <v>223000</v>
      </c>
      <c r="E24" s="19">
        <v>0</v>
      </c>
      <c r="F24" s="19"/>
      <c r="G24" s="19">
        <v>480</v>
      </c>
      <c r="H24" s="19">
        <v>9.4</v>
      </c>
      <c r="I24" s="19" t="s">
        <v>461</v>
      </c>
      <c r="J24" s="19" t="s">
        <v>97</v>
      </c>
      <c r="K24" s="19" t="b">
        <v>0</v>
      </c>
      <c r="L24" s="15">
        <v>2024</v>
      </c>
      <c r="M24" s="16">
        <v>0.0261</v>
      </c>
      <c r="N24" s="20">
        <v>41451</v>
      </c>
      <c r="O24" s="20">
        <v>41451</v>
      </c>
    </row>
    <row r="25" spans="1:15" ht="14.25">
      <c r="A25" s="17">
        <v>2013</v>
      </c>
      <c r="B25" s="18" t="s">
        <v>453</v>
      </c>
      <c r="C25" s="18" t="s">
        <v>454</v>
      </c>
      <c r="D25" s="19">
        <v>223000</v>
      </c>
      <c r="E25" s="19">
        <v>0</v>
      </c>
      <c r="F25" s="19"/>
      <c r="G25" s="19">
        <v>530</v>
      </c>
      <c r="H25" s="19">
        <v>9.8</v>
      </c>
      <c r="I25" s="19" t="s">
        <v>462</v>
      </c>
      <c r="J25" s="19" t="s">
        <v>105</v>
      </c>
      <c r="K25" s="19" t="b">
        <v>0</v>
      </c>
      <c r="L25" s="15">
        <v>2023</v>
      </c>
      <c r="M25" s="16">
        <v>82</v>
      </c>
      <c r="N25" s="20">
        <v>41451</v>
      </c>
      <c r="O25" s="20">
        <v>41451</v>
      </c>
    </row>
    <row r="26" spans="1:15" ht="14.25">
      <c r="A26" s="17">
        <v>2013</v>
      </c>
      <c r="B26" s="18" t="s">
        <v>453</v>
      </c>
      <c r="C26" s="18" t="s">
        <v>454</v>
      </c>
      <c r="D26" s="19">
        <v>223000</v>
      </c>
      <c r="E26" s="19">
        <v>0</v>
      </c>
      <c r="F26" s="19"/>
      <c r="G26" s="19">
        <v>310</v>
      </c>
      <c r="H26" s="19">
        <v>5.1</v>
      </c>
      <c r="I26" s="19"/>
      <c r="J26" s="19" t="s">
        <v>81</v>
      </c>
      <c r="K26" s="19" t="b">
        <v>1</v>
      </c>
      <c r="L26" s="15">
        <v>2024</v>
      </c>
      <c r="M26" s="16">
        <v>2154460</v>
      </c>
      <c r="N26" s="20">
        <v>41451</v>
      </c>
      <c r="O26" s="20">
        <v>41451</v>
      </c>
    </row>
    <row r="27" spans="1:15" ht="14.25">
      <c r="A27" s="17">
        <v>2013</v>
      </c>
      <c r="B27" s="18" t="s">
        <v>453</v>
      </c>
      <c r="C27" s="18" t="s">
        <v>454</v>
      </c>
      <c r="D27" s="19">
        <v>223000</v>
      </c>
      <c r="E27" s="19">
        <v>0</v>
      </c>
      <c r="F27" s="19"/>
      <c r="G27" s="19">
        <v>30</v>
      </c>
      <c r="H27" s="19" t="s">
        <v>41</v>
      </c>
      <c r="I27" s="19"/>
      <c r="J27" s="19" t="s">
        <v>42</v>
      </c>
      <c r="K27" s="19" t="b">
        <v>1</v>
      </c>
      <c r="L27" s="15">
        <v>2024</v>
      </c>
      <c r="M27" s="16">
        <v>33500000</v>
      </c>
      <c r="N27" s="20">
        <v>41451</v>
      </c>
      <c r="O27" s="20">
        <v>41451</v>
      </c>
    </row>
    <row r="28" spans="1:15" ht="14.25">
      <c r="A28" s="17">
        <v>2013</v>
      </c>
      <c r="B28" s="18" t="s">
        <v>453</v>
      </c>
      <c r="C28" s="18" t="s">
        <v>454</v>
      </c>
      <c r="D28" s="19">
        <v>223000</v>
      </c>
      <c r="E28" s="19">
        <v>0</v>
      </c>
      <c r="F28" s="19"/>
      <c r="G28" s="19">
        <v>500</v>
      </c>
      <c r="H28" s="19">
        <v>9.6</v>
      </c>
      <c r="I28" s="19" t="s">
        <v>463</v>
      </c>
      <c r="J28" s="19" t="s">
        <v>99</v>
      </c>
      <c r="K28" s="19" t="b">
        <v>0</v>
      </c>
      <c r="L28" s="15">
        <v>2020</v>
      </c>
      <c r="M28" s="16">
        <v>0.0373</v>
      </c>
      <c r="N28" s="20">
        <v>41451</v>
      </c>
      <c r="O28" s="20">
        <v>41451</v>
      </c>
    </row>
    <row r="29" spans="1:15" ht="14.25">
      <c r="A29" s="17">
        <v>2013</v>
      </c>
      <c r="B29" s="18" t="s">
        <v>453</v>
      </c>
      <c r="C29" s="18" t="s">
        <v>454</v>
      </c>
      <c r="D29" s="19">
        <v>223000</v>
      </c>
      <c r="E29" s="19">
        <v>0</v>
      </c>
      <c r="F29" s="19"/>
      <c r="G29" s="19">
        <v>580</v>
      </c>
      <c r="H29" s="19">
        <v>11.1</v>
      </c>
      <c r="I29" s="19"/>
      <c r="J29" s="19" t="s">
        <v>111</v>
      </c>
      <c r="K29" s="19" t="b">
        <v>0</v>
      </c>
      <c r="L29" s="15">
        <v>2022</v>
      </c>
      <c r="M29" s="16">
        <v>34200000</v>
      </c>
      <c r="N29" s="20">
        <v>41451</v>
      </c>
      <c r="O29" s="20">
        <v>41451</v>
      </c>
    </row>
    <row r="30" spans="1:15" ht="14.25">
      <c r="A30" s="17">
        <v>2013</v>
      </c>
      <c r="B30" s="18" t="s">
        <v>453</v>
      </c>
      <c r="C30" s="18" t="s">
        <v>454</v>
      </c>
      <c r="D30" s="19">
        <v>223000</v>
      </c>
      <c r="E30" s="19">
        <v>0</v>
      </c>
      <c r="F30" s="19"/>
      <c r="G30" s="19">
        <v>505</v>
      </c>
      <c r="H30" s="19" t="s">
        <v>100</v>
      </c>
      <c r="I30" s="19" t="s">
        <v>464</v>
      </c>
      <c r="J30" s="19" t="s">
        <v>101</v>
      </c>
      <c r="K30" s="19" t="b">
        <v>0</v>
      </c>
      <c r="L30" s="15">
        <v>2023</v>
      </c>
      <c r="M30" s="16">
        <v>0.0324</v>
      </c>
      <c r="N30" s="20">
        <v>41451</v>
      </c>
      <c r="O30" s="20">
        <v>41451</v>
      </c>
    </row>
    <row r="31" spans="1:15" ht="14.25">
      <c r="A31" s="17">
        <v>2013</v>
      </c>
      <c r="B31" s="18" t="s">
        <v>453</v>
      </c>
      <c r="C31" s="18" t="s">
        <v>454</v>
      </c>
      <c r="D31" s="19">
        <v>223000</v>
      </c>
      <c r="E31" s="19">
        <v>0</v>
      </c>
      <c r="F31" s="19"/>
      <c r="G31" s="19">
        <v>500</v>
      </c>
      <c r="H31" s="19">
        <v>9.6</v>
      </c>
      <c r="I31" s="19" t="s">
        <v>463</v>
      </c>
      <c r="J31" s="19" t="s">
        <v>99</v>
      </c>
      <c r="K31" s="19" t="b">
        <v>0</v>
      </c>
      <c r="L31" s="15">
        <v>2022</v>
      </c>
      <c r="M31" s="16">
        <v>0.0293</v>
      </c>
      <c r="N31" s="20">
        <v>41451</v>
      </c>
      <c r="O31" s="20">
        <v>41451</v>
      </c>
    </row>
    <row r="32" spans="1:15" ht="14.25">
      <c r="A32" s="17">
        <v>2013</v>
      </c>
      <c r="B32" s="18" t="s">
        <v>453</v>
      </c>
      <c r="C32" s="18" t="s">
        <v>454</v>
      </c>
      <c r="D32" s="19">
        <v>223000</v>
      </c>
      <c r="E32" s="19">
        <v>0</v>
      </c>
      <c r="F32" s="19"/>
      <c r="G32" s="19">
        <v>450</v>
      </c>
      <c r="H32" s="19">
        <v>9.1</v>
      </c>
      <c r="I32" s="19" t="s">
        <v>459</v>
      </c>
      <c r="J32" s="19" t="s">
        <v>95</v>
      </c>
      <c r="K32" s="19" t="b">
        <v>1</v>
      </c>
      <c r="L32" s="15">
        <v>2014</v>
      </c>
      <c r="M32" s="16">
        <v>0.0601</v>
      </c>
      <c r="N32" s="20">
        <v>41451</v>
      </c>
      <c r="O32" s="20">
        <v>41451</v>
      </c>
    </row>
    <row r="33" spans="1:15" ht="14.25">
      <c r="A33" s="17">
        <v>2013</v>
      </c>
      <c r="B33" s="18" t="s">
        <v>453</v>
      </c>
      <c r="C33" s="18" t="s">
        <v>454</v>
      </c>
      <c r="D33" s="19">
        <v>223000</v>
      </c>
      <c r="E33" s="19">
        <v>0</v>
      </c>
      <c r="F33" s="19"/>
      <c r="G33" s="19">
        <v>90</v>
      </c>
      <c r="H33" s="19">
        <v>1.2</v>
      </c>
      <c r="I33" s="19"/>
      <c r="J33" s="19" t="s">
        <v>53</v>
      </c>
      <c r="K33" s="19" t="b">
        <v>1</v>
      </c>
      <c r="L33" s="15">
        <v>2019</v>
      </c>
      <c r="M33" s="16">
        <v>1160000</v>
      </c>
      <c r="N33" s="20">
        <v>41451</v>
      </c>
      <c r="O33" s="20">
        <v>41451</v>
      </c>
    </row>
    <row r="34" spans="1:15" ht="14.25">
      <c r="A34" s="17">
        <v>2013</v>
      </c>
      <c r="B34" s="18" t="s">
        <v>453</v>
      </c>
      <c r="C34" s="18" t="s">
        <v>454</v>
      </c>
      <c r="D34" s="19">
        <v>223000</v>
      </c>
      <c r="E34" s="19">
        <v>0</v>
      </c>
      <c r="F34" s="19"/>
      <c r="G34" s="19">
        <v>550</v>
      </c>
      <c r="H34" s="19">
        <v>10</v>
      </c>
      <c r="I34" s="19"/>
      <c r="J34" s="19" t="s">
        <v>108</v>
      </c>
      <c r="K34" s="19" t="b">
        <v>0</v>
      </c>
      <c r="L34" s="15">
        <v>2024</v>
      </c>
      <c r="M34" s="16">
        <v>2154460</v>
      </c>
      <c r="N34" s="20">
        <v>41451</v>
      </c>
      <c r="O34" s="20">
        <v>41451</v>
      </c>
    </row>
    <row r="35" spans="1:15" ht="14.25">
      <c r="A35" s="17">
        <v>2013</v>
      </c>
      <c r="B35" s="18" t="s">
        <v>453</v>
      </c>
      <c r="C35" s="18" t="s">
        <v>454</v>
      </c>
      <c r="D35" s="19">
        <v>223000</v>
      </c>
      <c r="E35" s="19">
        <v>0</v>
      </c>
      <c r="F35" s="19"/>
      <c r="G35" s="19">
        <v>890</v>
      </c>
      <c r="H35" s="19">
        <v>14.2</v>
      </c>
      <c r="I35" s="19"/>
      <c r="J35" s="19" t="s">
        <v>152</v>
      </c>
      <c r="K35" s="19" t="b">
        <v>1</v>
      </c>
      <c r="L35" s="15">
        <v>2014</v>
      </c>
      <c r="M35" s="16">
        <v>12600000</v>
      </c>
      <c r="N35" s="20">
        <v>41451</v>
      </c>
      <c r="O35" s="20">
        <v>41451</v>
      </c>
    </row>
    <row r="36" spans="1:15" ht="14.25">
      <c r="A36" s="17">
        <v>2013</v>
      </c>
      <c r="B36" s="18" t="s">
        <v>453</v>
      </c>
      <c r="C36" s="18" t="s">
        <v>454</v>
      </c>
      <c r="D36" s="19">
        <v>223000</v>
      </c>
      <c r="E36" s="19">
        <v>0</v>
      </c>
      <c r="F36" s="19"/>
      <c r="G36" s="19">
        <v>450</v>
      </c>
      <c r="H36" s="19">
        <v>9.1</v>
      </c>
      <c r="I36" s="19" t="s">
        <v>459</v>
      </c>
      <c r="J36" s="19" t="s">
        <v>95</v>
      </c>
      <c r="K36" s="19" t="b">
        <v>1</v>
      </c>
      <c r="L36" s="15">
        <v>2017</v>
      </c>
      <c r="M36" s="16">
        <v>0.0436</v>
      </c>
      <c r="N36" s="20">
        <v>41451</v>
      </c>
      <c r="O36" s="20">
        <v>41451</v>
      </c>
    </row>
    <row r="37" spans="1:15" ht="14.25">
      <c r="A37" s="17">
        <v>2013</v>
      </c>
      <c r="B37" s="18" t="s">
        <v>453</v>
      </c>
      <c r="C37" s="18" t="s">
        <v>454</v>
      </c>
      <c r="D37" s="19">
        <v>223000</v>
      </c>
      <c r="E37" s="19">
        <v>0</v>
      </c>
      <c r="F37" s="19"/>
      <c r="G37" s="19">
        <v>580</v>
      </c>
      <c r="H37" s="19">
        <v>11.1</v>
      </c>
      <c r="I37" s="19"/>
      <c r="J37" s="19" t="s">
        <v>111</v>
      </c>
      <c r="K37" s="19" t="b">
        <v>0</v>
      </c>
      <c r="L37" s="15">
        <v>2025</v>
      </c>
      <c r="M37" s="16">
        <v>36000000</v>
      </c>
      <c r="N37" s="20">
        <v>41451</v>
      </c>
      <c r="O37" s="20">
        <v>41451</v>
      </c>
    </row>
    <row r="38" spans="1:15" ht="14.25">
      <c r="A38" s="17">
        <v>2013</v>
      </c>
      <c r="B38" s="18" t="s">
        <v>453</v>
      </c>
      <c r="C38" s="18" t="s">
        <v>454</v>
      </c>
      <c r="D38" s="19">
        <v>223000</v>
      </c>
      <c r="E38" s="19">
        <v>0</v>
      </c>
      <c r="F38" s="19"/>
      <c r="G38" s="19">
        <v>180</v>
      </c>
      <c r="H38" s="19" t="s">
        <v>67</v>
      </c>
      <c r="I38" s="19"/>
      <c r="J38" s="19" t="s">
        <v>68</v>
      </c>
      <c r="K38" s="19" t="b">
        <v>0</v>
      </c>
      <c r="L38" s="15">
        <v>2026</v>
      </c>
      <c r="M38" s="16">
        <v>18281</v>
      </c>
      <c r="N38" s="20">
        <v>41451</v>
      </c>
      <c r="O38" s="20">
        <v>41451</v>
      </c>
    </row>
    <row r="39" spans="1:15" ht="14.25">
      <c r="A39" s="17">
        <v>2013</v>
      </c>
      <c r="B39" s="18" t="s">
        <v>453</v>
      </c>
      <c r="C39" s="18" t="s">
        <v>454</v>
      </c>
      <c r="D39" s="19">
        <v>223000</v>
      </c>
      <c r="E39" s="19">
        <v>0</v>
      </c>
      <c r="F39" s="19"/>
      <c r="G39" s="19">
        <v>550</v>
      </c>
      <c r="H39" s="19">
        <v>10</v>
      </c>
      <c r="I39" s="19"/>
      <c r="J39" s="19" t="s">
        <v>108</v>
      </c>
      <c r="K39" s="19" t="b">
        <v>0</v>
      </c>
      <c r="L39" s="15">
        <v>2014</v>
      </c>
      <c r="M39" s="16">
        <v>4319922</v>
      </c>
      <c r="N39" s="20">
        <v>41451</v>
      </c>
      <c r="O39" s="20">
        <v>41451</v>
      </c>
    </row>
    <row r="40" spans="1:15" ht="14.25">
      <c r="A40" s="17">
        <v>2013</v>
      </c>
      <c r="B40" s="18" t="s">
        <v>453</v>
      </c>
      <c r="C40" s="18" t="s">
        <v>454</v>
      </c>
      <c r="D40" s="19">
        <v>223000</v>
      </c>
      <c r="E40" s="19">
        <v>0</v>
      </c>
      <c r="F40" s="19"/>
      <c r="G40" s="19">
        <v>80</v>
      </c>
      <c r="H40" s="19" t="s">
        <v>51</v>
      </c>
      <c r="I40" s="19"/>
      <c r="J40" s="19" t="s">
        <v>52</v>
      </c>
      <c r="K40" s="19" t="b">
        <v>1</v>
      </c>
      <c r="L40" s="15">
        <v>2014</v>
      </c>
      <c r="M40" s="16">
        <v>14479150</v>
      </c>
      <c r="N40" s="20">
        <v>41451</v>
      </c>
      <c r="O40" s="20">
        <v>41451</v>
      </c>
    </row>
    <row r="41" spans="1:15" ht="14.25">
      <c r="A41" s="17">
        <v>2013</v>
      </c>
      <c r="B41" s="18" t="s">
        <v>453</v>
      </c>
      <c r="C41" s="18" t="s">
        <v>454</v>
      </c>
      <c r="D41" s="19">
        <v>223000</v>
      </c>
      <c r="E41" s="19">
        <v>0</v>
      </c>
      <c r="F41" s="19"/>
      <c r="G41" s="19">
        <v>70</v>
      </c>
      <c r="H41" s="19" t="s">
        <v>49</v>
      </c>
      <c r="I41" s="19"/>
      <c r="J41" s="19" t="s">
        <v>50</v>
      </c>
      <c r="K41" s="19" t="b">
        <v>1</v>
      </c>
      <c r="L41" s="15">
        <v>2025</v>
      </c>
      <c r="M41" s="16">
        <v>26200000</v>
      </c>
      <c r="N41" s="20">
        <v>41451</v>
      </c>
      <c r="O41" s="20">
        <v>41451</v>
      </c>
    </row>
    <row r="42" spans="1:15" ht="14.25">
      <c r="A42" s="17">
        <v>2013</v>
      </c>
      <c r="B42" s="18" t="s">
        <v>453</v>
      </c>
      <c r="C42" s="18" t="s">
        <v>454</v>
      </c>
      <c r="D42" s="19">
        <v>223000</v>
      </c>
      <c r="E42" s="19">
        <v>0</v>
      </c>
      <c r="F42" s="19"/>
      <c r="G42" s="19">
        <v>590</v>
      </c>
      <c r="H42" s="19">
        <v>11.2</v>
      </c>
      <c r="I42" s="19"/>
      <c r="J42" s="19" t="s">
        <v>112</v>
      </c>
      <c r="K42" s="19" t="b">
        <v>1</v>
      </c>
      <c r="L42" s="15">
        <v>2022</v>
      </c>
      <c r="M42" s="16">
        <v>12600000</v>
      </c>
      <c r="N42" s="20">
        <v>41451</v>
      </c>
      <c r="O42" s="20">
        <v>41451</v>
      </c>
    </row>
    <row r="43" spans="1:15" ht="14.25">
      <c r="A43" s="17">
        <v>2013</v>
      </c>
      <c r="B43" s="18" t="s">
        <v>453</v>
      </c>
      <c r="C43" s="18" t="s">
        <v>454</v>
      </c>
      <c r="D43" s="19">
        <v>223000</v>
      </c>
      <c r="E43" s="19">
        <v>0</v>
      </c>
      <c r="F43" s="19"/>
      <c r="G43" s="19">
        <v>30</v>
      </c>
      <c r="H43" s="19" t="s">
        <v>41</v>
      </c>
      <c r="I43" s="19"/>
      <c r="J43" s="19" t="s">
        <v>42</v>
      </c>
      <c r="K43" s="19" t="b">
        <v>1</v>
      </c>
      <c r="L43" s="15">
        <v>2026</v>
      </c>
      <c r="M43" s="16">
        <v>34500000</v>
      </c>
      <c r="N43" s="20">
        <v>41451</v>
      </c>
      <c r="O43" s="20">
        <v>41451</v>
      </c>
    </row>
    <row r="44" spans="1:15" ht="14.25">
      <c r="A44" s="17">
        <v>2013</v>
      </c>
      <c r="B44" s="18" t="s">
        <v>453</v>
      </c>
      <c r="C44" s="18" t="s">
        <v>454</v>
      </c>
      <c r="D44" s="19">
        <v>223000</v>
      </c>
      <c r="E44" s="19">
        <v>0</v>
      </c>
      <c r="F44" s="19"/>
      <c r="G44" s="19">
        <v>350</v>
      </c>
      <c r="H44" s="19">
        <v>6</v>
      </c>
      <c r="I44" s="19"/>
      <c r="J44" s="19" t="s">
        <v>27</v>
      </c>
      <c r="K44" s="19" t="b">
        <v>1</v>
      </c>
      <c r="L44" s="15">
        <v>2015</v>
      </c>
      <c r="M44" s="16">
        <v>26473792</v>
      </c>
      <c r="N44" s="20">
        <v>41451</v>
      </c>
      <c r="O44" s="20">
        <v>41451</v>
      </c>
    </row>
    <row r="45" spans="1:15" ht="14.25">
      <c r="A45" s="17">
        <v>2013</v>
      </c>
      <c r="B45" s="18" t="s">
        <v>453</v>
      </c>
      <c r="C45" s="18" t="s">
        <v>454</v>
      </c>
      <c r="D45" s="19">
        <v>223000</v>
      </c>
      <c r="E45" s="19">
        <v>0</v>
      </c>
      <c r="F45" s="19"/>
      <c r="G45" s="19">
        <v>210</v>
      </c>
      <c r="H45" s="19">
        <v>4</v>
      </c>
      <c r="I45" s="19" t="s">
        <v>465</v>
      </c>
      <c r="J45" s="19" t="s">
        <v>24</v>
      </c>
      <c r="K45" s="19" t="b">
        <v>0</v>
      </c>
      <c r="L45" s="15">
        <v>2013</v>
      </c>
      <c r="M45" s="16">
        <v>1945552</v>
      </c>
      <c r="N45" s="20">
        <v>41451</v>
      </c>
      <c r="O45" s="20">
        <v>41451</v>
      </c>
    </row>
    <row r="46" spans="1:15" ht="14.25">
      <c r="A46" s="17">
        <v>2013</v>
      </c>
      <c r="B46" s="18" t="s">
        <v>453</v>
      </c>
      <c r="C46" s="18" t="s">
        <v>454</v>
      </c>
      <c r="D46" s="19">
        <v>223000</v>
      </c>
      <c r="E46" s="19">
        <v>0</v>
      </c>
      <c r="F46" s="19"/>
      <c r="G46" s="19">
        <v>100</v>
      </c>
      <c r="H46" s="19" t="s">
        <v>54</v>
      </c>
      <c r="I46" s="19"/>
      <c r="J46" s="19" t="s">
        <v>55</v>
      </c>
      <c r="K46" s="19" t="b">
        <v>1</v>
      </c>
      <c r="L46" s="15">
        <v>2021</v>
      </c>
      <c r="M46" s="16">
        <v>1160000</v>
      </c>
      <c r="N46" s="20">
        <v>41451</v>
      </c>
      <c r="O46" s="20">
        <v>41451</v>
      </c>
    </row>
    <row r="47" spans="1:15" ht="14.25">
      <c r="A47" s="17">
        <v>2013</v>
      </c>
      <c r="B47" s="18" t="s">
        <v>453</v>
      </c>
      <c r="C47" s="18" t="s">
        <v>454</v>
      </c>
      <c r="D47" s="19">
        <v>223000</v>
      </c>
      <c r="E47" s="19">
        <v>0</v>
      </c>
      <c r="F47" s="19"/>
      <c r="G47" s="19">
        <v>680</v>
      </c>
      <c r="H47" s="19" t="s">
        <v>123</v>
      </c>
      <c r="I47" s="19"/>
      <c r="J47" s="19" t="s">
        <v>124</v>
      </c>
      <c r="K47" s="19" t="b">
        <v>1</v>
      </c>
      <c r="L47" s="15">
        <v>2013</v>
      </c>
      <c r="M47" s="16">
        <v>680232</v>
      </c>
      <c r="N47" s="20">
        <v>41451</v>
      </c>
      <c r="O47" s="20">
        <v>41451</v>
      </c>
    </row>
    <row r="48" spans="1:15" ht="14.25">
      <c r="A48" s="17">
        <v>2013</v>
      </c>
      <c r="B48" s="18" t="s">
        <v>453</v>
      </c>
      <c r="C48" s="18" t="s">
        <v>454</v>
      </c>
      <c r="D48" s="19">
        <v>223000</v>
      </c>
      <c r="E48" s="19">
        <v>0</v>
      </c>
      <c r="F48" s="19"/>
      <c r="G48" s="19">
        <v>90</v>
      </c>
      <c r="H48" s="19">
        <v>1.2</v>
      </c>
      <c r="I48" s="19"/>
      <c r="J48" s="19" t="s">
        <v>53</v>
      </c>
      <c r="K48" s="19" t="b">
        <v>1</v>
      </c>
      <c r="L48" s="15">
        <v>2023</v>
      </c>
      <c r="M48" s="16">
        <v>1160000</v>
      </c>
      <c r="N48" s="20">
        <v>41451</v>
      </c>
      <c r="O48" s="20">
        <v>41451</v>
      </c>
    </row>
    <row r="49" spans="1:15" ht="14.25">
      <c r="A49" s="17">
        <v>2013</v>
      </c>
      <c r="B49" s="18" t="s">
        <v>453</v>
      </c>
      <c r="C49" s="18" t="s">
        <v>454</v>
      </c>
      <c r="D49" s="19">
        <v>223000</v>
      </c>
      <c r="E49" s="19">
        <v>0</v>
      </c>
      <c r="F49" s="19"/>
      <c r="G49" s="19">
        <v>380</v>
      </c>
      <c r="H49" s="19">
        <v>6.2</v>
      </c>
      <c r="I49" s="19" t="s">
        <v>466</v>
      </c>
      <c r="J49" s="19" t="s">
        <v>90</v>
      </c>
      <c r="K49" s="19" t="b">
        <v>0</v>
      </c>
      <c r="L49" s="15">
        <v>2019</v>
      </c>
      <c r="M49" s="16">
        <v>0.1496</v>
      </c>
      <c r="N49" s="20">
        <v>41451</v>
      </c>
      <c r="O49" s="20">
        <v>41451</v>
      </c>
    </row>
    <row r="50" spans="1:15" ht="14.25">
      <c r="A50" s="17">
        <v>2013</v>
      </c>
      <c r="B50" s="18" t="s">
        <v>453</v>
      </c>
      <c r="C50" s="18" t="s">
        <v>454</v>
      </c>
      <c r="D50" s="19">
        <v>223000</v>
      </c>
      <c r="E50" s="19">
        <v>0</v>
      </c>
      <c r="F50" s="19"/>
      <c r="G50" s="19">
        <v>90</v>
      </c>
      <c r="H50" s="19">
        <v>1.2</v>
      </c>
      <c r="I50" s="19"/>
      <c r="J50" s="19" t="s">
        <v>53</v>
      </c>
      <c r="K50" s="19" t="b">
        <v>1</v>
      </c>
      <c r="L50" s="15">
        <v>2017</v>
      </c>
      <c r="M50" s="16">
        <v>1660000</v>
      </c>
      <c r="N50" s="20">
        <v>41451</v>
      </c>
      <c r="O50" s="20">
        <v>41451</v>
      </c>
    </row>
    <row r="51" spans="1:15" ht="14.25">
      <c r="A51" s="17">
        <v>2013</v>
      </c>
      <c r="B51" s="18" t="s">
        <v>453</v>
      </c>
      <c r="C51" s="18" t="s">
        <v>454</v>
      </c>
      <c r="D51" s="19">
        <v>223000</v>
      </c>
      <c r="E51" s="19">
        <v>0</v>
      </c>
      <c r="F51" s="19"/>
      <c r="G51" s="19">
        <v>740</v>
      </c>
      <c r="H51" s="19" t="s">
        <v>133</v>
      </c>
      <c r="I51" s="19"/>
      <c r="J51" s="19" t="s">
        <v>134</v>
      </c>
      <c r="K51" s="19" t="b">
        <v>0</v>
      </c>
      <c r="L51" s="15">
        <v>2015</v>
      </c>
      <c r="M51" s="16">
        <v>110389</v>
      </c>
      <c r="N51" s="20">
        <v>41451</v>
      </c>
      <c r="O51" s="20">
        <v>41451</v>
      </c>
    </row>
    <row r="52" spans="1:15" ht="14.25">
      <c r="A52" s="17">
        <v>2013</v>
      </c>
      <c r="B52" s="18" t="s">
        <v>453</v>
      </c>
      <c r="C52" s="18" t="s">
        <v>454</v>
      </c>
      <c r="D52" s="19">
        <v>223000</v>
      </c>
      <c r="E52" s="19">
        <v>0</v>
      </c>
      <c r="F52" s="19"/>
      <c r="G52" s="19">
        <v>90</v>
      </c>
      <c r="H52" s="19">
        <v>1.2</v>
      </c>
      <c r="I52" s="19"/>
      <c r="J52" s="19" t="s">
        <v>53</v>
      </c>
      <c r="K52" s="19" t="b">
        <v>1</v>
      </c>
      <c r="L52" s="15">
        <v>2024</v>
      </c>
      <c r="M52" s="16">
        <v>1160000</v>
      </c>
      <c r="N52" s="20">
        <v>41451</v>
      </c>
      <c r="O52" s="20">
        <v>41451</v>
      </c>
    </row>
    <row r="53" spans="1:15" ht="14.25">
      <c r="A53" s="17">
        <v>2013</v>
      </c>
      <c r="B53" s="18" t="s">
        <v>453</v>
      </c>
      <c r="C53" s="18" t="s">
        <v>454</v>
      </c>
      <c r="D53" s="19">
        <v>223000</v>
      </c>
      <c r="E53" s="19">
        <v>0</v>
      </c>
      <c r="F53" s="19"/>
      <c r="G53" s="19">
        <v>470</v>
      </c>
      <c r="H53" s="19">
        <v>9.3</v>
      </c>
      <c r="I53" s="19" t="s">
        <v>459</v>
      </c>
      <c r="J53" s="19" t="s">
        <v>467</v>
      </c>
      <c r="K53" s="19" t="b">
        <v>1</v>
      </c>
      <c r="L53" s="15">
        <v>2021</v>
      </c>
      <c r="M53" s="16">
        <v>0.0353</v>
      </c>
      <c r="N53" s="20">
        <v>41451</v>
      </c>
      <c r="O53" s="20">
        <v>41451</v>
      </c>
    </row>
    <row r="54" spans="1:15" ht="14.25">
      <c r="A54" s="17">
        <v>2013</v>
      </c>
      <c r="B54" s="18" t="s">
        <v>453</v>
      </c>
      <c r="C54" s="18" t="s">
        <v>454</v>
      </c>
      <c r="D54" s="19">
        <v>223000</v>
      </c>
      <c r="E54" s="19">
        <v>0</v>
      </c>
      <c r="F54" s="19"/>
      <c r="G54" s="19">
        <v>590</v>
      </c>
      <c r="H54" s="19">
        <v>11.2</v>
      </c>
      <c r="I54" s="19"/>
      <c r="J54" s="19" t="s">
        <v>112</v>
      </c>
      <c r="K54" s="19" t="b">
        <v>1</v>
      </c>
      <c r="L54" s="15">
        <v>2018</v>
      </c>
      <c r="M54" s="16">
        <v>12200000</v>
      </c>
      <c r="N54" s="20">
        <v>41451</v>
      </c>
      <c r="O54" s="20">
        <v>41451</v>
      </c>
    </row>
    <row r="55" spans="1:15" ht="14.25">
      <c r="A55" s="17">
        <v>2013</v>
      </c>
      <c r="B55" s="18" t="s">
        <v>453</v>
      </c>
      <c r="C55" s="18" t="s">
        <v>454</v>
      </c>
      <c r="D55" s="19">
        <v>223000</v>
      </c>
      <c r="E55" s="19">
        <v>0</v>
      </c>
      <c r="F55" s="19"/>
      <c r="G55" s="19">
        <v>500</v>
      </c>
      <c r="H55" s="19">
        <v>9.6</v>
      </c>
      <c r="I55" s="19" t="s">
        <v>463</v>
      </c>
      <c r="J55" s="19" t="s">
        <v>99</v>
      </c>
      <c r="K55" s="19" t="b">
        <v>0</v>
      </c>
      <c r="L55" s="15">
        <v>2026</v>
      </c>
      <c r="M55" s="16">
        <v>0.0058</v>
      </c>
      <c r="N55" s="20">
        <v>41451</v>
      </c>
      <c r="O55" s="20">
        <v>41451</v>
      </c>
    </row>
    <row r="56" spans="1:15" ht="14.25">
      <c r="A56" s="17">
        <v>2013</v>
      </c>
      <c r="B56" s="18" t="s">
        <v>453</v>
      </c>
      <c r="C56" s="18" t="s">
        <v>454</v>
      </c>
      <c r="D56" s="19">
        <v>223000</v>
      </c>
      <c r="E56" s="19">
        <v>0</v>
      </c>
      <c r="F56" s="19"/>
      <c r="G56" s="19">
        <v>600</v>
      </c>
      <c r="H56" s="19">
        <v>11.3</v>
      </c>
      <c r="I56" s="19" t="s">
        <v>468</v>
      </c>
      <c r="J56" s="19" t="s">
        <v>113</v>
      </c>
      <c r="K56" s="19" t="b">
        <v>1</v>
      </c>
      <c r="L56" s="15">
        <v>2013</v>
      </c>
      <c r="M56" s="16">
        <v>19588880</v>
      </c>
      <c r="N56" s="20">
        <v>41451</v>
      </c>
      <c r="O56" s="20">
        <v>41451</v>
      </c>
    </row>
    <row r="57" spans="1:15" ht="14.25">
      <c r="A57" s="17">
        <v>2013</v>
      </c>
      <c r="B57" s="18" t="s">
        <v>453</v>
      </c>
      <c r="C57" s="18" t="s">
        <v>454</v>
      </c>
      <c r="D57" s="19">
        <v>223000</v>
      </c>
      <c r="E57" s="19">
        <v>0</v>
      </c>
      <c r="F57" s="19"/>
      <c r="G57" s="19">
        <v>130</v>
      </c>
      <c r="H57" s="19">
        <v>2.1</v>
      </c>
      <c r="I57" s="19"/>
      <c r="J57" s="19" t="s">
        <v>58</v>
      </c>
      <c r="K57" s="19" t="b">
        <v>1</v>
      </c>
      <c r="L57" s="15">
        <v>2020</v>
      </c>
      <c r="M57" s="16">
        <v>81118948</v>
      </c>
      <c r="N57" s="20">
        <v>41451</v>
      </c>
      <c r="O57" s="20">
        <v>41451</v>
      </c>
    </row>
    <row r="58" spans="1:15" ht="14.25">
      <c r="A58" s="17">
        <v>2013</v>
      </c>
      <c r="B58" s="18" t="s">
        <v>453</v>
      </c>
      <c r="C58" s="18" t="s">
        <v>454</v>
      </c>
      <c r="D58" s="19">
        <v>223000</v>
      </c>
      <c r="E58" s="19">
        <v>0</v>
      </c>
      <c r="F58" s="19"/>
      <c r="G58" s="19">
        <v>420</v>
      </c>
      <c r="H58" s="19">
        <v>8.1</v>
      </c>
      <c r="I58" s="19" t="s">
        <v>456</v>
      </c>
      <c r="J58" s="19" t="s">
        <v>93</v>
      </c>
      <c r="K58" s="19" t="b">
        <v>0</v>
      </c>
      <c r="L58" s="15">
        <v>2019</v>
      </c>
      <c r="M58" s="16">
        <v>2001733</v>
      </c>
      <c r="N58" s="20">
        <v>41451</v>
      </c>
      <c r="O58" s="20">
        <v>41451</v>
      </c>
    </row>
    <row r="59" spans="1:15" ht="14.25">
      <c r="A59" s="17">
        <v>2013</v>
      </c>
      <c r="B59" s="18" t="s">
        <v>453</v>
      </c>
      <c r="C59" s="18" t="s">
        <v>454</v>
      </c>
      <c r="D59" s="19">
        <v>223000</v>
      </c>
      <c r="E59" s="19">
        <v>0</v>
      </c>
      <c r="F59" s="19"/>
      <c r="G59" s="19">
        <v>190</v>
      </c>
      <c r="H59" s="19">
        <v>2.2</v>
      </c>
      <c r="I59" s="19"/>
      <c r="J59" s="19" t="s">
        <v>69</v>
      </c>
      <c r="K59" s="19" t="b">
        <v>0</v>
      </c>
      <c r="L59" s="15">
        <v>2022</v>
      </c>
      <c r="M59" s="16">
        <v>660000</v>
      </c>
      <c r="N59" s="20">
        <v>41451</v>
      </c>
      <c r="O59" s="20">
        <v>41451</v>
      </c>
    </row>
    <row r="60" spans="1:15" ht="14.25">
      <c r="A60" s="17">
        <v>2013</v>
      </c>
      <c r="B60" s="18" t="s">
        <v>453</v>
      </c>
      <c r="C60" s="18" t="s">
        <v>454</v>
      </c>
      <c r="D60" s="19">
        <v>223000</v>
      </c>
      <c r="E60" s="19">
        <v>0</v>
      </c>
      <c r="F60" s="19"/>
      <c r="G60" s="19">
        <v>30</v>
      </c>
      <c r="H60" s="19" t="s">
        <v>41</v>
      </c>
      <c r="I60" s="19"/>
      <c r="J60" s="19" t="s">
        <v>42</v>
      </c>
      <c r="K60" s="19" t="b">
        <v>1</v>
      </c>
      <c r="L60" s="15">
        <v>2016</v>
      </c>
      <c r="M60" s="16">
        <v>29000000</v>
      </c>
      <c r="N60" s="20">
        <v>41451</v>
      </c>
      <c r="O60" s="20">
        <v>41451</v>
      </c>
    </row>
    <row r="61" spans="1:15" ht="14.25">
      <c r="A61" s="17">
        <v>2013</v>
      </c>
      <c r="B61" s="18" t="s">
        <v>453</v>
      </c>
      <c r="C61" s="18" t="s">
        <v>454</v>
      </c>
      <c r="D61" s="19">
        <v>223000</v>
      </c>
      <c r="E61" s="19">
        <v>0</v>
      </c>
      <c r="F61" s="19"/>
      <c r="G61" s="19">
        <v>620</v>
      </c>
      <c r="H61" s="19" t="s">
        <v>116</v>
      </c>
      <c r="I61" s="19"/>
      <c r="J61" s="19" t="s">
        <v>117</v>
      </c>
      <c r="K61" s="19" t="b">
        <v>1</v>
      </c>
      <c r="L61" s="15">
        <v>2016</v>
      </c>
      <c r="M61" s="16">
        <v>7000000</v>
      </c>
      <c r="N61" s="20">
        <v>41451</v>
      </c>
      <c r="O61" s="20">
        <v>41451</v>
      </c>
    </row>
    <row r="62" spans="1:15" ht="14.25">
      <c r="A62" s="17">
        <v>2013</v>
      </c>
      <c r="B62" s="18" t="s">
        <v>453</v>
      </c>
      <c r="C62" s="18" t="s">
        <v>454</v>
      </c>
      <c r="D62" s="19">
        <v>223000</v>
      </c>
      <c r="E62" s="19">
        <v>0</v>
      </c>
      <c r="F62" s="19"/>
      <c r="G62" s="19">
        <v>130</v>
      </c>
      <c r="H62" s="19">
        <v>2.1</v>
      </c>
      <c r="I62" s="19"/>
      <c r="J62" s="19" t="s">
        <v>58</v>
      </c>
      <c r="K62" s="19" t="b">
        <v>1</v>
      </c>
      <c r="L62" s="15">
        <v>2022</v>
      </c>
      <c r="M62" s="16">
        <v>82998813</v>
      </c>
      <c r="N62" s="20">
        <v>41451</v>
      </c>
      <c r="O62" s="20">
        <v>41451</v>
      </c>
    </row>
    <row r="63" spans="1:15" ht="14.25">
      <c r="A63" s="17">
        <v>2013</v>
      </c>
      <c r="B63" s="18" t="s">
        <v>453</v>
      </c>
      <c r="C63" s="18" t="s">
        <v>454</v>
      </c>
      <c r="D63" s="19">
        <v>223000</v>
      </c>
      <c r="E63" s="19">
        <v>0</v>
      </c>
      <c r="F63" s="19"/>
      <c r="G63" s="19">
        <v>580</v>
      </c>
      <c r="H63" s="19">
        <v>11.1</v>
      </c>
      <c r="I63" s="19"/>
      <c r="J63" s="19" t="s">
        <v>111</v>
      </c>
      <c r="K63" s="19" t="b">
        <v>0</v>
      </c>
      <c r="L63" s="15">
        <v>2014</v>
      </c>
      <c r="M63" s="16">
        <v>30800000</v>
      </c>
      <c r="N63" s="20">
        <v>41451</v>
      </c>
      <c r="O63" s="20">
        <v>41451</v>
      </c>
    </row>
    <row r="64" spans="1:15" ht="14.25">
      <c r="A64" s="17">
        <v>2013</v>
      </c>
      <c r="B64" s="18" t="s">
        <v>453</v>
      </c>
      <c r="C64" s="18" t="s">
        <v>454</v>
      </c>
      <c r="D64" s="19">
        <v>223000</v>
      </c>
      <c r="E64" s="19">
        <v>0</v>
      </c>
      <c r="F64" s="19"/>
      <c r="G64" s="19">
        <v>130</v>
      </c>
      <c r="H64" s="19">
        <v>2.1</v>
      </c>
      <c r="I64" s="19"/>
      <c r="J64" s="19" t="s">
        <v>58</v>
      </c>
      <c r="K64" s="19" t="b">
        <v>1</v>
      </c>
      <c r="L64" s="15">
        <v>2014</v>
      </c>
      <c r="M64" s="16">
        <v>77146504</v>
      </c>
      <c r="N64" s="20">
        <v>41451</v>
      </c>
      <c r="O64" s="20">
        <v>41451</v>
      </c>
    </row>
    <row r="65" spans="1:15" ht="14.25">
      <c r="A65" s="17">
        <v>2013</v>
      </c>
      <c r="B65" s="18" t="s">
        <v>453</v>
      </c>
      <c r="C65" s="18" t="s">
        <v>454</v>
      </c>
      <c r="D65" s="19">
        <v>223000</v>
      </c>
      <c r="E65" s="19">
        <v>0</v>
      </c>
      <c r="F65" s="19"/>
      <c r="G65" s="19">
        <v>540</v>
      </c>
      <c r="H65" s="19" t="s">
        <v>106</v>
      </c>
      <c r="I65" s="19" t="s">
        <v>460</v>
      </c>
      <c r="J65" s="19" t="s">
        <v>107</v>
      </c>
      <c r="K65" s="19" t="b">
        <v>0</v>
      </c>
      <c r="L65" s="15">
        <v>2018</v>
      </c>
      <c r="M65" s="16">
        <v>668</v>
      </c>
      <c r="N65" s="20">
        <v>41451</v>
      </c>
      <c r="O65" s="20">
        <v>41451</v>
      </c>
    </row>
    <row r="66" spans="1:15" ht="14.25">
      <c r="A66" s="17">
        <v>2013</v>
      </c>
      <c r="B66" s="18" t="s">
        <v>453</v>
      </c>
      <c r="C66" s="18" t="s">
        <v>454</v>
      </c>
      <c r="D66" s="19">
        <v>223000</v>
      </c>
      <c r="E66" s="19">
        <v>0</v>
      </c>
      <c r="F66" s="19"/>
      <c r="G66" s="19">
        <v>50</v>
      </c>
      <c r="H66" s="19" t="s">
        <v>45</v>
      </c>
      <c r="I66" s="19"/>
      <c r="J66" s="19" t="s">
        <v>46</v>
      </c>
      <c r="K66" s="19" t="b">
        <v>1</v>
      </c>
      <c r="L66" s="15">
        <v>2016</v>
      </c>
      <c r="M66" s="16">
        <v>7200000</v>
      </c>
      <c r="N66" s="20">
        <v>41451</v>
      </c>
      <c r="O66" s="20">
        <v>41451</v>
      </c>
    </row>
    <row r="67" spans="1:15" ht="14.25">
      <c r="A67" s="17">
        <v>2013</v>
      </c>
      <c r="B67" s="18" t="s">
        <v>453</v>
      </c>
      <c r="C67" s="18" t="s">
        <v>454</v>
      </c>
      <c r="D67" s="19">
        <v>223000</v>
      </c>
      <c r="E67" s="19">
        <v>0</v>
      </c>
      <c r="F67" s="19"/>
      <c r="G67" s="19">
        <v>550</v>
      </c>
      <c r="H67" s="19">
        <v>10</v>
      </c>
      <c r="I67" s="19"/>
      <c r="J67" s="19" t="s">
        <v>108</v>
      </c>
      <c r="K67" s="19" t="b">
        <v>0</v>
      </c>
      <c r="L67" s="15">
        <v>2019</v>
      </c>
      <c r="M67" s="16">
        <v>2501733</v>
      </c>
      <c r="N67" s="20">
        <v>41451</v>
      </c>
      <c r="O67" s="20">
        <v>41451</v>
      </c>
    </row>
    <row r="68" spans="1:15" ht="14.25">
      <c r="A68" s="17">
        <v>2013</v>
      </c>
      <c r="B68" s="18" t="s">
        <v>453</v>
      </c>
      <c r="C68" s="18" t="s">
        <v>454</v>
      </c>
      <c r="D68" s="19">
        <v>223000</v>
      </c>
      <c r="E68" s="19">
        <v>0</v>
      </c>
      <c r="F68" s="19"/>
      <c r="G68" s="19">
        <v>170</v>
      </c>
      <c r="H68" s="19" t="s">
        <v>65</v>
      </c>
      <c r="I68" s="19"/>
      <c r="J68" s="19" t="s">
        <v>66</v>
      </c>
      <c r="K68" s="19" t="b">
        <v>1</v>
      </c>
      <c r="L68" s="15">
        <v>2015</v>
      </c>
      <c r="M68" s="16">
        <v>1350501</v>
      </c>
      <c r="N68" s="20">
        <v>41451</v>
      </c>
      <c r="O68" s="20">
        <v>41451</v>
      </c>
    </row>
    <row r="69" spans="1:15" ht="14.25">
      <c r="A69" s="17">
        <v>2013</v>
      </c>
      <c r="B69" s="18" t="s">
        <v>453</v>
      </c>
      <c r="C69" s="18" t="s">
        <v>454</v>
      </c>
      <c r="D69" s="19">
        <v>223000</v>
      </c>
      <c r="E69" s="19">
        <v>0</v>
      </c>
      <c r="F69" s="19"/>
      <c r="G69" s="19">
        <v>590</v>
      </c>
      <c r="H69" s="19">
        <v>11.2</v>
      </c>
      <c r="I69" s="19"/>
      <c r="J69" s="19" t="s">
        <v>112</v>
      </c>
      <c r="K69" s="19" t="b">
        <v>1</v>
      </c>
      <c r="L69" s="15">
        <v>2017</v>
      </c>
      <c r="M69" s="16">
        <v>12100000</v>
      </c>
      <c r="N69" s="20">
        <v>41451</v>
      </c>
      <c r="O69" s="20">
        <v>41451</v>
      </c>
    </row>
    <row r="70" spans="1:15" ht="14.25">
      <c r="A70" s="17">
        <v>2013</v>
      </c>
      <c r="B70" s="18" t="s">
        <v>453</v>
      </c>
      <c r="C70" s="18" t="s">
        <v>454</v>
      </c>
      <c r="D70" s="19">
        <v>223000</v>
      </c>
      <c r="E70" s="19">
        <v>0</v>
      </c>
      <c r="F70" s="19"/>
      <c r="G70" s="19">
        <v>180</v>
      </c>
      <c r="H70" s="19" t="s">
        <v>67</v>
      </c>
      <c r="I70" s="19"/>
      <c r="J70" s="19" t="s">
        <v>68</v>
      </c>
      <c r="K70" s="19" t="b">
        <v>0</v>
      </c>
      <c r="L70" s="15">
        <v>2022</v>
      </c>
      <c r="M70" s="16">
        <v>361651</v>
      </c>
      <c r="N70" s="20">
        <v>41451</v>
      </c>
      <c r="O70" s="20">
        <v>41451</v>
      </c>
    </row>
    <row r="71" spans="1:15" ht="14.25">
      <c r="A71" s="17">
        <v>2013</v>
      </c>
      <c r="B71" s="18" t="s">
        <v>453</v>
      </c>
      <c r="C71" s="18" t="s">
        <v>454</v>
      </c>
      <c r="D71" s="19">
        <v>223000</v>
      </c>
      <c r="E71" s="19">
        <v>0</v>
      </c>
      <c r="F71" s="19"/>
      <c r="G71" s="19">
        <v>190</v>
      </c>
      <c r="H71" s="19">
        <v>2.2</v>
      </c>
      <c r="I71" s="19"/>
      <c r="J71" s="19" t="s">
        <v>69</v>
      </c>
      <c r="K71" s="19" t="b">
        <v>0</v>
      </c>
      <c r="L71" s="15">
        <v>2026</v>
      </c>
      <c r="M71" s="16">
        <v>660000</v>
      </c>
      <c r="N71" s="20">
        <v>41451</v>
      </c>
      <c r="O71" s="20">
        <v>41451</v>
      </c>
    </row>
    <row r="72" spans="1:15" ht="14.25">
      <c r="A72" s="17">
        <v>2013</v>
      </c>
      <c r="B72" s="18" t="s">
        <v>453</v>
      </c>
      <c r="C72" s="18" t="s">
        <v>454</v>
      </c>
      <c r="D72" s="19">
        <v>223000</v>
      </c>
      <c r="E72" s="19">
        <v>0</v>
      </c>
      <c r="F72" s="19"/>
      <c r="G72" s="19">
        <v>630</v>
      </c>
      <c r="H72" s="19">
        <v>11.4</v>
      </c>
      <c r="I72" s="19"/>
      <c r="J72" s="19" t="s">
        <v>118</v>
      </c>
      <c r="K72" s="19" t="b">
        <v>1</v>
      </c>
      <c r="L72" s="15">
        <v>2013</v>
      </c>
      <c r="M72" s="16">
        <v>18581839</v>
      </c>
      <c r="N72" s="20">
        <v>41451</v>
      </c>
      <c r="O72" s="20">
        <v>41451</v>
      </c>
    </row>
    <row r="73" spans="1:15" ht="14.25">
      <c r="A73" s="17">
        <v>2013</v>
      </c>
      <c r="B73" s="18" t="s">
        <v>453</v>
      </c>
      <c r="C73" s="18" t="s">
        <v>454</v>
      </c>
      <c r="D73" s="19">
        <v>223000</v>
      </c>
      <c r="E73" s="19">
        <v>0</v>
      </c>
      <c r="F73" s="19"/>
      <c r="G73" s="19">
        <v>100</v>
      </c>
      <c r="H73" s="19" t="s">
        <v>54</v>
      </c>
      <c r="I73" s="19"/>
      <c r="J73" s="19" t="s">
        <v>55</v>
      </c>
      <c r="K73" s="19" t="b">
        <v>1</v>
      </c>
      <c r="L73" s="15">
        <v>2024</v>
      </c>
      <c r="M73" s="16">
        <v>1160000</v>
      </c>
      <c r="N73" s="20">
        <v>41451</v>
      </c>
      <c r="O73" s="20">
        <v>41451</v>
      </c>
    </row>
    <row r="74" spans="1:15" ht="14.25">
      <c r="A74" s="17">
        <v>2013</v>
      </c>
      <c r="B74" s="18" t="s">
        <v>453</v>
      </c>
      <c r="C74" s="18" t="s">
        <v>454</v>
      </c>
      <c r="D74" s="19">
        <v>223000</v>
      </c>
      <c r="E74" s="19">
        <v>0</v>
      </c>
      <c r="F74" s="19"/>
      <c r="G74" s="19">
        <v>50</v>
      </c>
      <c r="H74" s="19" t="s">
        <v>45</v>
      </c>
      <c r="I74" s="19"/>
      <c r="J74" s="19" t="s">
        <v>46</v>
      </c>
      <c r="K74" s="19" t="b">
        <v>1</v>
      </c>
      <c r="L74" s="15">
        <v>2015</v>
      </c>
      <c r="M74" s="16">
        <v>7150000</v>
      </c>
      <c r="N74" s="20">
        <v>41451</v>
      </c>
      <c r="O74" s="20">
        <v>41451</v>
      </c>
    </row>
    <row r="75" spans="1:15" ht="14.25">
      <c r="A75" s="17">
        <v>2013</v>
      </c>
      <c r="B75" s="18" t="s">
        <v>453</v>
      </c>
      <c r="C75" s="18" t="s">
        <v>454</v>
      </c>
      <c r="D75" s="19">
        <v>223000</v>
      </c>
      <c r="E75" s="19">
        <v>0</v>
      </c>
      <c r="F75" s="19"/>
      <c r="G75" s="19">
        <v>310</v>
      </c>
      <c r="H75" s="19">
        <v>5.1</v>
      </c>
      <c r="I75" s="19"/>
      <c r="J75" s="19" t="s">
        <v>81</v>
      </c>
      <c r="K75" s="19" t="b">
        <v>1</v>
      </c>
      <c r="L75" s="15">
        <v>2014</v>
      </c>
      <c r="M75" s="16">
        <v>4319922</v>
      </c>
      <c r="N75" s="20">
        <v>41451</v>
      </c>
      <c r="O75" s="20">
        <v>41451</v>
      </c>
    </row>
    <row r="76" spans="1:15" ht="14.25">
      <c r="A76" s="17">
        <v>2013</v>
      </c>
      <c r="B76" s="18" t="s">
        <v>453</v>
      </c>
      <c r="C76" s="18" t="s">
        <v>454</v>
      </c>
      <c r="D76" s="19">
        <v>223000</v>
      </c>
      <c r="E76" s="19">
        <v>0</v>
      </c>
      <c r="F76" s="19"/>
      <c r="G76" s="19">
        <v>580</v>
      </c>
      <c r="H76" s="19">
        <v>11.1</v>
      </c>
      <c r="I76" s="19"/>
      <c r="J76" s="19" t="s">
        <v>111</v>
      </c>
      <c r="K76" s="19" t="b">
        <v>0</v>
      </c>
      <c r="L76" s="15">
        <v>2018</v>
      </c>
      <c r="M76" s="16">
        <v>31800000</v>
      </c>
      <c r="N76" s="20">
        <v>41451</v>
      </c>
      <c r="O76" s="20">
        <v>41451</v>
      </c>
    </row>
    <row r="77" spans="1:15" ht="14.25">
      <c r="A77" s="17">
        <v>2013</v>
      </c>
      <c r="B77" s="18" t="s">
        <v>453</v>
      </c>
      <c r="C77" s="18" t="s">
        <v>454</v>
      </c>
      <c r="D77" s="19">
        <v>223000</v>
      </c>
      <c r="E77" s="19">
        <v>0</v>
      </c>
      <c r="F77" s="19"/>
      <c r="G77" s="19">
        <v>530</v>
      </c>
      <c r="H77" s="19">
        <v>9.8</v>
      </c>
      <c r="I77" s="19" t="s">
        <v>462</v>
      </c>
      <c r="J77" s="19" t="s">
        <v>105</v>
      </c>
      <c r="K77" s="19" t="b">
        <v>0</v>
      </c>
      <c r="L77" s="15">
        <v>2013</v>
      </c>
      <c r="M77" s="16">
        <v>88</v>
      </c>
      <c r="N77" s="20">
        <v>41451</v>
      </c>
      <c r="O77" s="20">
        <v>41451</v>
      </c>
    </row>
    <row r="78" spans="1:15" ht="14.25">
      <c r="A78" s="17">
        <v>2013</v>
      </c>
      <c r="B78" s="18" t="s">
        <v>453</v>
      </c>
      <c r="C78" s="18" t="s">
        <v>454</v>
      </c>
      <c r="D78" s="19">
        <v>223000</v>
      </c>
      <c r="E78" s="19">
        <v>0</v>
      </c>
      <c r="F78" s="19"/>
      <c r="G78" s="19">
        <v>180</v>
      </c>
      <c r="H78" s="19" t="s">
        <v>67</v>
      </c>
      <c r="I78" s="19"/>
      <c r="J78" s="19" t="s">
        <v>68</v>
      </c>
      <c r="K78" s="19" t="b">
        <v>0</v>
      </c>
      <c r="L78" s="15">
        <v>2023</v>
      </c>
      <c r="M78" s="16">
        <v>238619</v>
      </c>
      <c r="N78" s="20">
        <v>41451</v>
      </c>
      <c r="O78" s="20">
        <v>41451</v>
      </c>
    </row>
    <row r="79" spans="1:15" ht="14.25">
      <c r="A79" s="17">
        <v>2013</v>
      </c>
      <c r="B79" s="18" t="s">
        <v>453</v>
      </c>
      <c r="C79" s="18" t="s">
        <v>454</v>
      </c>
      <c r="D79" s="19">
        <v>223000</v>
      </c>
      <c r="E79" s="19">
        <v>0</v>
      </c>
      <c r="F79" s="19"/>
      <c r="G79" s="19">
        <v>80</v>
      </c>
      <c r="H79" s="19" t="s">
        <v>51</v>
      </c>
      <c r="I79" s="19"/>
      <c r="J79" s="19" t="s">
        <v>52</v>
      </c>
      <c r="K79" s="19" t="b">
        <v>1</v>
      </c>
      <c r="L79" s="15">
        <v>2013</v>
      </c>
      <c r="M79" s="16">
        <v>16358622</v>
      </c>
      <c r="N79" s="20">
        <v>41451</v>
      </c>
      <c r="O79" s="20">
        <v>41451</v>
      </c>
    </row>
    <row r="80" spans="1:15" ht="14.25">
      <c r="A80" s="17">
        <v>2013</v>
      </c>
      <c r="B80" s="18" t="s">
        <v>453</v>
      </c>
      <c r="C80" s="18" t="s">
        <v>454</v>
      </c>
      <c r="D80" s="19">
        <v>223000</v>
      </c>
      <c r="E80" s="19">
        <v>0</v>
      </c>
      <c r="F80" s="19"/>
      <c r="G80" s="19">
        <v>580</v>
      </c>
      <c r="H80" s="19">
        <v>11.1</v>
      </c>
      <c r="I80" s="19"/>
      <c r="J80" s="19" t="s">
        <v>111</v>
      </c>
      <c r="K80" s="19" t="b">
        <v>0</v>
      </c>
      <c r="L80" s="15">
        <v>2019</v>
      </c>
      <c r="M80" s="16">
        <v>32400000</v>
      </c>
      <c r="N80" s="20">
        <v>41451</v>
      </c>
      <c r="O80" s="20">
        <v>41451</v>
      </c>
    </row>
    <row r="81" spans="1:15" ht="14.25">
      <c r="A81" s="17">
        <v>2013</v>
      </c>
      <c r="B81" s="18" t="s">
        <v>453</v>
      </c>
      <c r="C81" s="18" t="s">
        <v>454</v>
      </c>
      <c r="D81" s="19">
        <v>223000</v>
      </c>
      <c r="E81" s="19">
        <v>0</v>
      </c>
      <c r="F81" s="19"/>
      <c r="G81" s="19">
        <v>190</v>
      </c>
      <c r="H81" s="19">
        <v>2.2</v>
      </c>
      <c r="I81" s="19"/>
      <c r="J81" s="19" t="s">
        <v>69</v>
      </c>
      <c r="K81" s="19" t="b">
        <v>0</v>
      </c>
      <c r="L81" s="15">
        <v>2019</v>
      </c>
      <c r="M81" s="16">
        <v>660000</v>
      </c>
      <c r="N81" s="20">
        <v>41451</v>
      </c>
      <c r="O81" s="20">
        <v>41451</v>
      </c>
    </row>
    <row r="82" spans="1:15" ht="14.25">
      <c r="A82" s="17">
        <v>2013</v>
      </c>
      <c r="B82" s="18" t="s">
        <v>453</v>
      </c>
      <c r="C82" s="18" t="s">
        <v>454</v>
      </c>
      <c r="D82" s="19">
        <v>223000</v>
      </c>
      <c r="E82" s="19">
        <v>0</v>
      </c>
      <c r="F82" s="19"/>
      <c r="G82" s="19">
        <v>80</v>
      </c>
      <c r="H82" s="19" t="s">
        <v>51</v>
      </c>
      <c r="I82" s="19"/>
      <c r="J82" s="19" t="s">
        <v>52</v>
      </c>
      <c r="K82" s="19" t="b">
        <v>1</v>
      </c>
      <c r="L82" s="15">
        <v>2023</v>
      </c>
      <c r="M82" s="16">
        <v>15700000</v>
      </c>
      <c r="N82" s="20">
        <v>41451</v>
      </c>
      <c r="O82" s="20">
        <v>41451</v>
      </c>
    </row>
    <row r="83" spans="1:15" ht="14.25">
      <c r="A83" s="17">
        <v>2013</v>
      </c>
      <c r="B83" s="18" t="s">
        <v>453</v>
      </c>
      <c r="C83" s="18" t="s">
        <v>454</v>
      </c>
      <c r="D83" s="19">
        <v>223000</v>
      </c>
      <c r="E83" s="19">
        <v>0</v>
      </c>
      <c r="F83" s="19"/>
      <c r="G83" s="19">
        <v>350</v>
      </c>
      <c r="H83" s="19">
        <v>6</v>
      </c>
      <c r="I83" s="19"/>
      <c r="J83" s="19" t="s">
        <v>27</v>
      </c>
      <c r="K83" s="19" t="b">
        <v>1</v>
      </c>
      <c r="L83" s="15">
        <v>2018</v>
      </c>
      <c r="M83" s="16">
        <v>14968593</v>
      </c>
      <c r="N83" s="20">
        <v>41451</v>
      </c>
      <c r="O83" s="20">
        <v>41451</v>
      </c>
    </row>
    <row r="84" spans="1:15" ht="14.25">
      <c r="A84" s="17">
        <v>2013</v>
      </c>
      <c r="B84" s="18" t="s">
        <v>453</v>
      </c>
      <c r="C84" s="18" t="s">
        <v>454</v>
      </c>
      <c r="D84" s="19">
        <v>223000</v>
      </c>
      <c r="E84" s="19">
        <v>0</v>
      </c>
      <c r="F84" s="19"/>
      <c r="G84" s="19">
        <v>120</v>
      </c>
      <c r="H84" s="19">
        <v>2</v>
      </c>
      <c r="I84" s="19" t="s">
        <v>469</v>
      </c>
      <c r="J84" s="19" t="s">
        <v>21</v>
      </c>
      <c r="K84" s="19" t="b">
        <v>0</v>
      </c>
      <c r="L84" s="15">
        <v>2024</v>
      </c>
      <c r="M84" s="16">
        <v>85591321</v>
      </c>
      <c r="N84" s="20">
        <v>41451</v>
      </c>
      <c r="O84" s="20">
        <v>41451</v>
      </c>
    </row>
    <row r="85" spans="1:15" ht="14.25">
      <c r="A85" s="17">
        <v>2013</v>
      </c>
      <c r="B85" s="18" t="s">
        <v>453</v>
      </c>
      <c r="C85" s="18" t="s">
        <v>454</v>
      </c>
      <c r="D85" s="19">
        <v>223000</v>
      </c>
      <c r="E85" s="19">
        <v>0</v>
      </c>
      <c r="F85" s="19"/>
      <c r="G85" s="19">
        <v>900</v>
      </c>
      <c r="H85" s="19">
        <v>14.3</v>
      </c>
      <c r="I85" s="19"/>
      <c r="J85" s="19" t="s">
        <v>153</v>
      </c>
      <c r="K85" s="19" t="b">
        <v>1</v>
      </c>
      <c r="L85" s="15">
        <v>2014</v>
      </c>
      <c r="M85" s="16">
        <v>8000000</v>
      </c>
      <c r="N85" s="20">
        <v>41451</v>
      </c>
      <c r="O85" s="20">
        <v>41451</v>
      </c>
    </row>
    <row r="86" spans="1:15" ht="14.25">
      <c r="A86" s="17">
        <v>2013</v>
      </c>
      <c r="B86" s="18" t="s">
        <v>453</v>
      </c>
      <c r="C86" s="18" t="s">
        <v>454</v>
      </c>
      <c r="D86" s="19">
        <v>223000</v>
      </c>
      <c r="E86" s="19">
        <v>0</v>
      </c>
      <c r="F86" s="19"/>
      <c r="G86" s="19">
        <v>170</v>
      </c>
      <c r="H86" s="19" t="s">
        <v>65</v>
      </c>
      <c r="I86" s="19"/>
      <c r="J86" s="19" t="s">
        <v>66</v>
      </c>
      <c r="K86" s="19" t="b">
        <v>1</v>
      </c>
      <c r="L86" s="15">
        <v>2016</v>
      </c>
      <c r="M86" s="16">
        <v>1209652</v>
      </c>
      <c r="N86" s="20">
        <v>41451</v>
      </c>
      <c r="O86" s="20">
        <v>41451</v>
      </c>
    </row>
    <row r="87" spans="1:15" ht="14.25">
      <c r="A87" s="17">
        <v>2013</v>
      </c>
      <c r="B87" s="18" t="s">
        <v>453</v>
      </c>
      <c r="C87" s="18" t="s">
        <v>454</v>
      </c>
      <c r="D87" s="19">
        <v>223000</v>
      </c>
      <c r="E87" s="19">
        <v>0</v>
      </c>
      <c r="F87" s="19"/>
      <c r="G87" s="19">
        <v>90</v>
      </c>
      <c r="H87" s="19">
        <v>1.2</v>
      </c>
      <c r="I87" s="19"/>
      <c r="J87" s="19" t="s">
        <v>53</v>
      </c>
      <c r="K87" s="19" t="b">
        <v>1</v>
      </c>
      <c r="L87" s="15">
        <v>2021</v>
      </c>
      <c r="M87" s="16">
        <v>1160000</v>
      </c>
      <c r="N87" s="20">
        <v>41451</v>
      </c>
      <c r="O87" s="20">
        <v>41451</v>
      </c>
    </row>
    <row r="88" spans="1:15" ht="14.25">
      <c r="A88" s="17">
        <v>2013</v>
      </c>
      <c r="B88" s="18" t="s">
        <v>453</v>
      </c>
      <c r="C88" s="18" t="s">
        <v>454</v>
      </c>
      <c r="D88" s="19">
        <v>223000</v>
      </c>
      <c r="E88" s="19">
        <v>0</v>
      </c>
      <c r="F88" s="19"/>
      <c r="G88" s="19">
        <v>600</v>
      </c>
      <c r="H88" s="19">
        <v>11.3</v>
      </c>
      <c r="I88" s="19" t="s">
        <v>468</v>
      </c>
      <c r="J88" s="19" t="s">
        <v>113</v>
      </c>
      <c r="K88" s="19" t="b">
        <v>1</v>
      </c>
      <c r="L88" s="15">
        <v>2014</v>
      </c>
      <c r="M88" s="16">
        <v>16604173</v>
      </c>
      <c r="N88" s="20">
        <v>41451</v>
      </c>
      <c r="O88" s="20">
        <v>41451</v>
      </c>
    </row>
    <row r="89" spans="1:15" ht="14.25">
      <c r="A89" s="17">
        <v>2013</v>
      </c>
      <c r="B89" s="18" t="s">
        <v>453</v>
      </c>
      <c r="C89" s="18" t="s">
        <v>454</v>
      </c>
      <c r="D89" s="19">
        <v>223000</v>
      </c>
      <c r="E89" s="19">
        <v>0</v>
      </c>
      <c r="F89" s="19"/>
      <c r="G89" s="19">
        <v>300</v>
      </c>
      <c r="H89" s="19">
        <v>5</v>
      </c>
      <c r="I89" s="19" t="s">
        <v>458</v>
      </c>
      <c r="J89" s="19" t="s">
        <v>80</v>
      </c>
      <c r="K89" s="19" t="b">
        <v>0</v>
      </c>
      <c r="L89" s="15">
        <v>2018</v>
      </c>
      <c r="M89" s="16">
        <v>2501733</v>
      </c>
      <c r="N89" s="20">
        <v>41451</v>
      </c>
      <c r="O89" s="20">
        <v>41451</v>
      </c>
    </row>
    <row r="90" spans="1:15" ht="14.25">
      <c r="A90" s="17">
        <v>2013</v>
      </c>
      <c r="B90" s="18" t="s">
        <v>453</v>
      </c>
      <c r="C90" s="18" t="s">
        <v>454</v>
      </c>
      <c r="D90" s="19">
        <v>223000</v>
      </c>
      <c r="E90" s="19">
        <v>0</v>
      </c>
      <c r="F90" s="19"/>
      <c r="G90" s="19">
        <v>550</v>
      </c>
      <c r="H90" s="19">
        <v>10</v>
      </c>
      <c r="I90" s="19"/>
      <c r="J90" s="19" t="s">
        <v>108</v>
      </c>
      <c r="K90" s="19" t="b">
        <v>0</v>
      </c>
      <c r="L90" s="15">
        <v>2023</v>
      </c>
      <c r="M90" s="16">
        <v>2154468</v>
      </c>
      <c r="N90" s="20">
        <v>41451</v>
      </c>
      <c r="O90" s="20">
        <v>41451</v>
      </c>
    </row>
    <row r="91" spans="1:15" ht="14.25">
      <c r="A91" s="17">
        <v>2013</v>
      </c>
      <c r="B91" s="18" t="s">
        <v>453</v>
      </c>
      <c r="C91" s="18" t="s">
        <v>454</v>
      </c>
      <c r="D91" s="19">
        <v>223000</v>
      </c>
      <c r="E91" s="19">
        <v>0</v>
      </c>
      <c r="F91" s="19"/>
      <c r="G91" s="19">
        <v>310</v>
      </c>
      <c r="H91" s="19">
        <v>5.1</v>
      </c>
      <c r="I91" s="19"/>
      <c r="J91" s="19" t="s">
        <v>81</v>
      </c>
      <c r="K91" s="19" t="b">
        <v>1</v>
      </c>
      <c r="L91" s="15">
        <v>2026</v>
      </c>
      <c r="M91" s="16">
        <v>500000</v>
      </c>
      <c r="N91" s="20">
        <v>41451</v>
      </c>
      <c r="O91" s="20">
        <v>41451</v>
      </c>
    </row>
    <row r="92" spans="1:15" ht="14.25">
      <c r="A92" s="17">
        <v>2013</v>
      </c>
      <c r="B92" s="18" t="s">
        <v>453</v>
      </c>
      <c r="C92" s="18" t="s">
        <v>454</v>
      </c>
      <c r="D92" s="19">
        <v>223000</v>
      </c>
      <c r="E92" s="19">
        <v>0</v>
      </c>
      <c r="F92" s="19"/>
      <c r="G92" s="19">
        <v>420</v>
      </c>
      <c r="H92" s="19">
        <v>8.1</v>
      </c>
      <c r="I92" s="19" t="s">
        <v>456</v>
      </c>
      <c r="J92" s="19" t="s">
        <v>93</v>
      </c>
      <c r="K92" s="19" t="b">
        <v>0</v>
      </c>
      <c r="L92" s="15">
        <v>2021</v>
      </c>
      <c r="M92" s="16">
        <v>2001731</v>
      </c>
      <c r="N92" s="20">
        <v>41451</v>
      </c>
      <c r="O92" s="20">
        <v>41451</v>
      </c>
    </row>
    <row r="93" spans="1:15" ht="14.25">
      <c r="A93" s="17">
        <v>2013</v>
      </c>
      <c r="B93" s="18" t="s">
        <v>453</v>
      </c>
      <c r="C93" s="18" t="s">
        <v>454</v>
      </c>
      <c r="D93" s="19">
        <v>223000</v>
      </c>
      <c r="E93" s="19">
        <v>0</v>
      </c>
      <c r="F93" s="19"/>
      <c r="G93" s="19">
        <v>200</v>
      </c>
      <c r="H93" s="19">
        <v>3</v>
      </c>
      <c r="I93" s="19" t="s">
        <v>455</v>
      </c>
      <c r="J93" s="19" t="s">
        <v>23</v>
      </c>
      <c r="K93" s="19" t="b">
        <v>0</v>
      </c>
      <c r="L93" s="15">
        <v>2018</v>
      </c>
      <c r="M93" s="16">
        <v>2501733</v>
      </c>
      <c r="N93" s="20">
        <v>41451</v>
      </c>
      <c r="O93" s="20">
        <v>41451</v>
      </c>
    </row>
    <row r="94" spans="1:15" ht="14.25">
      <c r="A94" s="17">
        <v>2013</v>
      </c>
      <c r="B94" s="18" t="s">
        <v>453</v>
      </c>
      <c r="C94" s="18" t="s">
        <v>454</v>
      </c>
      <c r="D94" s="19">
        <v>223000</v>
      </c>
      <c r="E94" s="19">
        <v>0</v>
      </c>
      <c r="F94" s="19"/>
      <c r="G94" s="19">
        <v>540</v>
      </c>
      <c r="H94" s="19" t="s">
        <v>106</v>
      </c>
      <c r="I94" s="19" t="s">
        <v>460</v>
      </c>
      <c r="J94" s="19" t="s">
        <v>107</v>
      </c>
      <c r="K94" s="19" t="b">
        <v>0</v>
      </c>
      <c r="L94" s="15">
        <v>2017</v>
      </c>
      <c r="M94" s="16">
        <v>1189</v>
      </c>
      <c r="N94" s="20">
        <v>41451</v>
      </c>
      <c r="O94" s="20">
        <v>41451</v>
      </c>
    </row>
    <row r="95" spans="1:15" ht="14.25">
      <c r="A95" s="17">
        <v>2013</v>
      </c>
      <c r="B95" s="18" t="s">
        <v>453</v>
      </c>
      <c r="C95" s="18" t="s">
        <v>454</v>
      </c>
      <c r="D95" s="19">
        <v>223000</v>
      </c>
      <c r="E95" s="19">
        <v>0</v>
      </c>
      <c r="F95" s="19"/>
      <c r="G95" s="19">
        <v>10</v>
      </c>
      <c r="H95" s="19">
        <v>1</v>
      </c>
      <c r="I95" s="19" t="s">
        <v>457</v>
      </c>
      <c r="J95" s="19" t="s">
        <v>26</v>
      </c>
      <c r="K95" s="19" t="b">
        <v>1</v>
      </c>
      <c r="L95" s="15">
        <v>2018</v>
      </c>
      <c r="M95" s="16">
        <v>82849468</v>
      </c>
      <c r="N95" s="20">
        <v>41451</v>
      </c>
      <c r="O95" s="20">
        <v>41451</v>
      </c>
    </row>
    <row r="96" spans="1:15" ht="14.25">
      <c r="A96" s="17">
        <v>2013</v>
      </c>
      <c r="B96" s="18" t="s">
        <v>453</v>
      </c>
      <c r="C96" s="18" t="s">
        <v>454</v>
      </c>
      <c r="D96" s="19">
        <v>223000</v>
      </c>
      <c r="E96" s="19">
        <v>0</v>
      </c>
      <c r="F96" s="19"/>
      <c r="G96" s="19">
        <v>170</v>
      </c>
      <c r="H96" s="19" t="s">
        <v>65</v>
      </c>
      <c r="I96" s="19"/>
      <c r="J96" s="19" t="s">
        <v>66</v>
      </c>
      <c r="K96" s="19" t="b">
        <v>1</v>
      </c>
      <c r="L96" s="15">
        <v>2022</v>
      </c>
      <c r="M96" s="16">
        <v>361651</v>
      </c>
      <c r="N96" s="20">
        <v>41451</v>
      </c>
      <c r="O96" s="20">
        <v>41451</v>
      </c>
    </row>
    <row r="97" spans="1:15" ht="14.25">
      <c r="A97" s="17">
        <v>2013</v>
      </c>
      <c r="B97" s="18" t="s">
        <v>453</v>
      </c>
      <c r="C97" s="18" t="s">
        <v>454</v>
      </c>
      <c r="D97" s="19">
        <v>223000</v>
      </c>
      <c r="E97" s="19">
        <v>0</v>
      </c>
      <c r="F97" s="19"/>
      <c r="G97" s="19">
        <v>520</v>
      </c>
      <c r="H97" s="19" t="s">
        <v>103</v>
      </c>
      <c r="I97" s="19"/>
      <c r="J97" s="19" t="s">
        <v>470</v>
      </c>
      <c r="K97" s="19" t="b">
        <v>1</v>
      </c>
      <c r="L97" s="15">
        <v>2015</v>
      </c>
      <c r="M97" s="16">
        <v>0.1806</v>
      </c>
      <c r="N97" s="20">
        <v>41451</v>
      </c>
      <c r="O97" s="20">
        <v>41451</v>
      </c>
    </row>
    <row r="98" spans="1:15" ht="14.25">
      <c r="A98" s="17">
        <v>2013</v>
      </c>
      <c r="B98" s="18" t="s">
        <v>453</v>
      </c>
      <c r="C98" s="18" t="s">
        <v>454</v>
      </c>
      <c r="D98" s="19">
        <v>223000</v>
      </c>
      <c r="E98" s="19">
        <v>0</v>
      </c>
      <c r="F98" s="19"/>
      <c r="G98" s="19">
        <v>505</v>
      </c>
      <c r="H98" s="19" t="s">
        <v>100</v>
      </c>
      <c r="I98" s="19" t="s">
        <v>464</v>
      </c>
      <c r="J98" s="19" t="s">
        <v>101</v>
      </c>
      <c r="K98" s="19" t="b">
        <v>0</v>
      </c>
      <c r="L98" s="15">
        <v>2019</v>
      </c>
      <c r="M98" s="16">
        <v>0.0379</v>
      </c>
      <c r="N98" s="20">
        <v>41451</v>
      </c>
      <c r="O98" s="20">
        <v>41451</v>
      </c>
    </row>
    <row r="99" spans="1:15" ht="14.25">
      <c r="A99" s="17">
        <v>2013</v>
      </c>
      <c r="B99" s="18" t="s">
        <v>453</v>
      </c>
      <c r="C99" s="18" t="s">
        <v>454</v>
      </c>
      <c r="D99" s="19">
        <v>223000</v>
      </c>
      <c r="E99" s="19">
        <v>0</v>
      </c>
      <c r="F99" s="19"/>
      <c r="G99" s="19">
        <v>40</v>
      </c>
      <c r="H99" s="19" t="s">
        <v>43</v>
      </c>
      <c r="I99" s="19"/>
      <c r="J99" s="19" t="s">
        <v>44</v>
      </c>
      <c r="K99" s="19" t="b">
        <v>1</v>
      </c>
      <c r="L99" s="15">
        <v>2019</v>
      </c>
      <c r="M99" s="16">
        <v>2700000</v>
      </c>
      <c r="N99" s="20">
        <v>41451</v>
      </c>
      <c r="O99" s="20">
        <v>41451</v>
      </c>
    </row>
    <row r="100" spans="1:15" ht="14.25">
      <c r="A100" s="17">
        <v>2013</v>
      </c>
      <c r="B100" s="18" t="s">
        <v>453</v>
      </c>
      <c r="C100" s="18" t="s">
        <v>454</v>
      </c>
      <c r="D100" s="19">
        <v>223000</v>
      </c>
      <c r="E100" s="19">
        <v>0</v>
      </c>
      <c r="F100" s="19"/>
      <c r="G100" s="19">
        <v>560</v>
      </c>
      <c r="H100" s="19">
        <v>10.1</v>
      </c>
      <c r="I100" s="19"/>
      <c r="J100" s="19" t="s">
        <v>109</v>
      </c>
      <c r="K100" s="19" t="b">
        <v>0</v>
      </c>
      <c r="L100" s="15">
        <v>2014</v>
      </c>
      <c r="M100" s="16">
        <v>4319922</v>
      </c>
      <c r="N100" s="20">
        <v>41451</v>
      </c>
      <c r="O100" s="20">
        <v>41451</v>
      </c>
    </row>
    <row r="101" spans="1:15" ht="14.25">
      <c r="A101" s="17">
        <v>2013</v>
      </c>
      <c r="B101" s="18" t="s">
        <v>453</v>
      </c>
      <c r="C101" s="18" t="s">
        <v>454</v>
      </c>
      <c r="D101" s="19">
        <v>223000</v>
      </c>
      <c r="E101" s="19">
        <v>0</v>
      </c>
      <c r="F101" s="19"/>
      <c r="G101" s="19">
        <v>480</v>
      </c>
      <c r="H101" s="19">
        <v>9.4</v>
      </c>
      <c r="I101" s="19" t="s">
        <v>461</v>
      </c>
      <c r="J101" s="19" t="s">
        <v>97</v>
      </c>
      <c r="K101" s="19" t="b">
        <v>0</v>
      </c>
      <c r="L101" s="15">
        <v>2013</v>
      </c>
      <c r="M101" s="16">
        <v>0.0579</v>
      </c>
      <c r="N101" s="20">
        <v>41451</v>
      </c>
      <c r="O101" s="20">
        <v>41451</v>
      </c>
    </row>
    <row r="102" spans="1:15" ht="14.25">
      <c r="A102" s="17">
        <v>2013</v>
      </c>
      <c r="B102" s="18" t="s">
        <v>453</v>
      </c>
      <c r="C102" s="18" t="s">
        <v>454</v>
      </c>
      <c r="D102" s="19">
        <v>223000</v>
      </c>
      <c r="E102" s="19">
        <v>0</v>
      </c>
      <c r="F102" s="19"/>
      <c r="G102" s="19">
        <v>520</v>
      </c>
      <c r="H102" s="19" t="s">
        <v>103</v>
      </c>
      <c r="I102" s="19"/>
      <c r="J102" s="19" t="s">
        <v>470</v>
      </c>
      <c r="K102" s="19" t="b">
        <v>1</v>
      </c>
      <c r="L102" s="15">
        <v>2016</v>
      </c>
      <c r="M102" s="16">
        <v>0.1758</v>
      </c>
      <c r="N102" s="20">
        <v>41451</v>
      </c>
      <c r="O102" s="20">
        <v>41451</v>
      </c>
    </row>
    <row r="103" spans="1:15" ht="14.25">
      <c r="A103" s="17">
        <v>2013</v>
      </c>
      <c r="B103" s="18" t="s">
        <v>453</v>
      </c>
      <c r="C103" s="18" t="s">
        <v>454</v>
      </c>
      <c r="D103" s="19">
        <v>223000</v>
      </c>
      <c r="E103" s="19">
        <v>0</v>
      </c>
      <c r="F103" s="19"/>
      <c r="G103" s="19">
        <v>380</v>
      </c>
      <c r="H103" s="19">
        <v>6.2</v>
      </c>
      <c r="I103" s="19" t="s">
        <v>466</v>
      </c>
      <c r="J103" s="19" t="s">
        <v>90</v>
      </c>
      <c r="K103" s="19" t="b">
        <v>0</v>
      </c>
      <c r="L103" s="15">
        <v>2021</v>
      </c>
      <c r="M103" s="16">
        <v>0.0876</v>
      </c>
      <c r="N103" s="20">
        <v>41451</v>
      </c>
      <c r="O103" s="20">
        <v>41451</v>
      </c>
    </row>
    <row r="104" spans="1:15" ht="14.25">
      <c r="A104" s="17">
        <v>2013</v>
      </c>
      <c r="B104" s="18" t="s">
        <v>453</v>
      </c>
      <c r="C104" s="18" t="s">
        <v>454</v>
      </c>
      <c r="D104" s="19">
        <v>223000</v>
      </c>
      <c r="E104" s="19">
        <v>0</v>
      </c>
      <c r="F104" s="19"/>
      <c r="G104" s="19">
        <v>310</v>
      </c>
      <c r="H104" s="19">
        <v>5.1</v>
      </c>
      <c r="I104" s="19"/>
      <c r="J104" s="19" t="s">
        <v>81</v>
      </c>
      <c r="K104" s="19" t="b">
        <v>1</v>
      </c>
      <c r="L104" s="15">
        <v>2021</v>
      </c>
      <c r="M104" s="16">
        <v>2501731</v>
      </c>
      <c r="N104" s="20">
        <v>41451</v>
      </c>
      <c r="O104" s="20">
        <v>41451</v>
      </c>
    </row>
    <row r="105" spans="1:15" ht="14.25">
      <c r="A105" s="17">
        <v>2013</v>
      </c>
      <c r="B105" s="18" t="s">
        <v>453</v>
      </c>
      <c r="C105" s="18" t="s">
        <v>454</v>
      </c>
      <c r="D105" s="19">
        <v>223000</v>
      </c>
      <c r="E105" s="19">
        <v>0</v>
      </c>
      <c r="F105" s="19"/>
      <c r="G105" s="19">
        <v>550</v>
      </c>
      <c r="H105" s="19">
        <v>10</v>
      </c>
      <c r="I105" s="19"/>
      <c r="J105" s="19" t="s">
        <v>108</v>
      </c>
      <c r="K105" s="19" t="b">
        <v>0</v>
      </c>
      <c r="L105" s="15">
        <v>2026</v>
      </c>
      <c r="M105" s="16">
        <v>500000</v>
      </c>
      <c r="N105" s="20">
        <v>41451</v>
      </c>
      <c r="O105" s="20">
        <v>41451</v>
      </c>
    </row>
    <row r="106" spans="1:15" ht="14.25">
      <c r="A106" s="17">
        <v>2013</v>
      </c>
      <c r="B106" s="18" t="s">
        <v>453</v>
      </c>
      <c r="C106" s="18" t="s">
        <v>454</v>
      </c>
      <c r="D106" s="19">
        <v>223000</v>
      </c>
      <c r="E106" s="19">
        <v>0</v>
      </c>
      <c r="F106" s="19"/>
      <c r="G106" s="19">
        <v>130</v>
      </c>
      <c r="H106" s="19">
        <v>2.1</v>
      </c>
      <c r="I106" s="19"/>
      <c r="J106" s="19" t="s">
        <v>58</v>
      </c>
      <c r="K106" s="19" t="b">
        <v>1</v>
      </c>
      <c r="L106" s="15">
        <v>2013</v>
      </c>
      <c r="M106" s="16">
        <v>85023445</v>
      </c>
      <c r="N106" s="20">
        <v>41451</v>
      </c>
      <c r="O106" s="20">
        <v>41451</v>
      </c>
    </row>
    <row r="107" spans="1:15" ht="14.25">
      <c r="A107" s="17">
        <v>2013</v>
      </c>
      <c r="B107" s="18" t="s">
        <v>453</v>
      </c>
      <c r="C107" s="18" t="s">
        <v>454</v>
      </c>
      <c r="D107" s="19">
        <v>223000</v>
      </c>
      <c r="E107" s="19">
        <v>0</v>
      </c>
      <c r="F107" s="19"/>
      <c r="G107" s="19">
        <v>180</v>
      </c>
      <c r="H107" s="19" t="s">
        <v>67</v>
      </c>
      <c r="I107" s="19"/>
      <c r="J107" s="19" t="s">
        <v>68</v>
      </c>
      <c r="K107" s="19" t="b">
        <v>0</v>
      </c>
      <c r="L107" s="15">
        <v>2021</v>
      </c>
      <c r="M107" s="16">
        <v>504813</v>
      </c>
      <c r="N107" s="20">
        <v>41451</v>
      </c>
      <c r="O107" s="20">
        <v>41451</v>
      </c>
    </row>
    <row r="108" spans="1:15" ht="14.25">
      <c r="A108" s="17">
        <v>2013</v>
      </c>
      <c r="B108" s="18" t="s">
        <v>453</v>
      </c>
      <c r="C108" s="18" t="s">
        <v>454</v>
      </c>
      <c r="D108" s="19">
        <v>223000</v>
      </c>
      <c r="E108" s="19">
        <v>0</v>
      </c>
      <c r="F108" s="19"/>
      <c r="G108" s="19">
        <v>180</v>
      </c>
      <c r="H108" s="19" t="s">
        <v>67</v>
      </c>
      <c r="I108" s="19"/>
      <c r="J108" s="19" t="s">
        <v>68</v>
      </c>
      <c r="K108" s="19" t="b">
        <v>0</v>
      </c>
      <c r="L108" s="15">
        <v>2018</v>
      </c>
      <c r="M108" s="16">
        <v>927661</v>
      </c>
      <c r="N108" s="20">
        <v>41451</v>
      </c>
      <c r="O108" s="20">
        <v>41451</v>
      </c>
    </row>
    <row r="109" spans="1:15" ht="14.25">
      <c r="A109" s="17">
        <v>2013</v>
      </c>
      <c r="B109" s="18" t="s">
        <v>453</v>
      </c>
      <c r="C109" s="18" t="s">
        <v>454</v>
      </c>
      <c r="D109" s="19">
        <v>223000</v>
      </c>
      <c r="E109" s="19">
        <v>0</v>
      </c>
      <c r="F109" s="19"/>
      <c r="G109" s="19">
        <v>550</v>
      </c>
      <c r="H109" s="19">
        <v>10</v>
      </c>
      <c r="I109" s="19"/>
      <c r="J109" s="19" t="s">
        <v>108</v>
      </c>
      <c r="K109" s="19" t="b">
        <v>0</v>
      </c>
      <c r="L109" s="15">
        <v>2025</v>
      </c>
      <c r="M109" s="16">
        <v>500000</v>
      </c>
      <c r="N109" s="20">
        <v>41451</v>
      </c>
      <c r="O109" s="20">
        <v>41451</v>
      </c>
    </row>
    <row r="110" spans="1:15" ht="14.25">
      <c r="A110" s="17">
        <v>2013</v>
      </c>
      <c r="B110" s="18" t="s">
        <v>453</v>
      </c>
      <c r="C110" s="18" t="s">
        <v>454</v>
      </c>
      <c r="D110" s="19">
        <v>223000</v>
      </c>
      <c r="E110" s="19">
        <v>0</v>
      </c>
      <c r="F110" s="19"/>
      <c r="G110" s="19">
        <v>590</v>
      </c>
      <c r="H110" s="19">
        <v>11.2</v>
      </c>
      <c r="I110" s="19"/>
      <c r="J110" s="19" t="s">
        <v>112</v>
      </c>
      <c r="K110" s="19" t="b">
        <v>1</v>
      </c>
      <c r="L110" s="15">
        <v>2024</v>
      </c>
      <c r="M110" s="16">
        <v>12750000</v>
      </c>
      <c r="N110" s="20">
        <v>41451</v>
      </c>
      <c r="O110" s="20">
        <v>41451</v>
      </c>
    </row>
    <row r="111" spans="1:15" ht="14.25">
      <c r="A111" s="17">
        <v>2013</v>
      </c>
      <c r="B111" s="18" t="s">
        <v>453</v>
      </c>
      <c r="C111" s="18" t="s">
        <v>454</v>
      </c>
      <c r="D111" s="19">
        <v>223000</v>
      </c>
      <c r="E111" s="19">
        <v>0</v>
      </c>
      <c r="F111" s="19"/>
      <c r="G111" s="19">
        <v>750</v>
      </c>
      <c r="H111" s="19" t="s">
        <v>135</v>
      </c>
      <c r="I111" s="19"/>
      <c r="J111" s="19" t="s">
        <v>136</v>
      </c>
      <c r="K111" s="19" t="b">
        <v>0</v>
      </c>
      <c r="L111" s="15">
        <v>2014</v>
      </c>
      <c r="M111" s="16">
        <v>480</v>
      </c>
      <c r="N111" s="20">
        <v>41451</v>
      </c>
      <c r="O111" s="20">
        <v>41451</v>
      </c>
    </row>
    <row r="112" spans="1:15" ht="14.25">
      <c r="A112" s="17">
        <v>2013</v>
      </c>
      <c r="B112" s="18" t="s">
        <v>453</v>
      </c>
      <c r="C112" s="18" t="s">
        <v>454</v>
      </c>
      <c r="D112" s="19">
        <v>223000</v>
      </c>
      <c r="E112" s="19">
        <v>0</v>
      </c>
      <c r="F112" s="19"/>
      <c r="G112" s="19">
        <v>430</v>
      </c>
      <c r="H112" s="19">
        <v>8.2</v>
      </c>
      <c r="I112" s="19" t="s">
        <v>471</v>
      </c>
      <c r="J112" s="19" t="s">
        <v>94</v>
      </c>
      <c r="K112" s="19" t="b">
        <v>0</v>
      </c>
      <c r="L112" s="15">
        <v>2015</v>
      </c>
      <c r="M112" s="16">
        <v>2104136</v>
      </c>
      <c r="N112" s="20">
        <v>41451</v>
      </c>
      <c r="O112" s="20">
        <v>41451</v>
      </c>
    </row>
    <row r="113" spans="1:15" ht="14.25">
      <c r="A113" s="17">
        <v>2013</v>
      </c>
      <c r="B113" s="18" t="s">
        <v>453</v>
      </c>
      <c r="C113" s="18" t="s">
        <v>454</v>
      </c>
      <c r="D113" s="19">
        <v>223000</v>
      </c>
      <c r="E113" s="19">
        <v>0</v>
      </c>
      <c r="F113" s="19"/>
      <c r="G113" s="19">
        <v>630</v>
      </c>
      <c r="H113" s="19">
        <v>11.4</v>
      </c>
      <c r="I113" s="19"/>
      <c r="J113" s="19" t="s">
        <v>118</v>
      </c>
      <c r="K113" s="19" t="b">
        <v>1</v>
      </c>
      <c r="L113" s="15">
        <v>2016</v>
      </c>
      <c r="M113" s="16">
        <v>7000000</v>
      </c>
      <c r="N113" s="20">
        <v>41451</v>
      </c>
      <c r="O113" s="20">
        <v>41451</v>
      </c>
    </row>
    <row r="114" spans="1:15" ht="14.25">
      <c r="A114" s="17">
        <v>2013</v>
      </c>
      <c r="B114" s="18" t="s">
        <v>453</v>
      </c>
      <c r="C114" s="18" t="s">
        <v>454</v>
      </c>
      <c r="D114" s="19">
        <v>223000</v>
      </c>
      <c r="E114" s="19">
        <v>0</v>
      </c>
      <c r="F114" s="19"/>
      <c r="G114" s="19">
        <v>450</v>
      </c>
      <c r="H114" s="19">
        <v>9.1</v>
      </c>
      <c r="I114" s="19" t="s">
        <v>459</v>
      </c>
      <c r="J114" s="19" t="s">
        <v>95</v>
      </c>
      <c r="K114" s="19" t="b">
        <v>1</v>
      </c>
      <c r="L114" s="15">
        <v>2016</v>
      </c>
      <c r="M114" s="16">
        <v>0.0427</v>
      </c>
      <c r="N114" s="20">
        <v>41451</v>
      </c>
      <c r="O114" s="20">
        <v>41451</v>
      </c>
    </row>
    <row r="115" spans="1:15" ht="14.25">
      <c r="A115" s="17">
        <v>2013</v>
      </c>
      <c r="B115" s="18" t="s">
        <v>453</v>
      </c>
      <c r="C115" s="18" t="s">
        <v>454</v>
      </c>
      <c r="D115" s="19">
        <v>223000</v>
      </c>
      <c r="E115" s="19">
        <v>0</v>
      </c>
      <c r="F115" s="19"/>
      <c r="G115" s="19">
        <v>10</v>
      </c>
      <c r="H115" s="19">
        <v>1</v>
      </c>
      <c r="I115" s="19" t="s">
        <v>457</v>
      </c>
      <c r="J115" s="19" t="s">
        <v>26</v>
      </c>
      <c r="K115" s="19" t="b">
        <v>1</v>
      </c>
      <c r="L115" s="15">
        <v>2017</v>
      </c>
      <c r="M115" s="16">
        <v>81955313</v>
      </c>
      <c r="N115" s="20">
        <v>41451</v>
      </c>
      <c r="O115" s="20">
        <v>41451</v>
      </c>
    </row>
    <row r="116" spans="1:15" ht="14.25">
      <c r="A116" s="17">
        <v>2013</v>
      </c>
      <c r="B116" s="18" t="s">
        <v>453</v>
      </c>
      <c r="C116" s="18" t="s">
        <v>454</v>
      </c>
      <c r="D116" s="19">
        <v>223000</v>
      </c>
      <c r="E116" s="19">
        <v>0</v>
      </c>
      <c r="F116" s="19"/>
      <c r="G116" s="19">
        <v>390</v>
      </c>
      <c r="H116" s="19">
        <v>6.3</v>
      </c>
      <c r="I116" s="19" t="s">
        <v>472</v>
      </c>
      <c r="J116" s="19" t="s">
        <v>91</v>
      </c>
      <c r="K116" s="19" t="b">
        <v>0</v>
      </c>
      <c r="L116" s="15">
        <v>2020</v>
      </c>
      <c r="M116" s="16">
        <v>0.1182</v>
      </c>
      <c r="N116" s="20">
        <v>41451</v>
      </c>
      <c r="O116" s="20">
        <v>41451</v>
      </c>
    </row>
    <row r="117" spans="1:15" ht="14.25">
      <c r="A117" s="17">
        <v>2013</v>
      </c>
      <c r="B117" s="18" t="s">
        <v>453</v>
      </c>
      <c r="C117" s="18" t="s">
        <v>454</v>
      </c>
      <c r="D117" s="19">
        <v>223000</v>
      </c>
      <c r="E117" s="19">
        <v>0</v>
      </c>
      <c r="F117" s="19"/>
      <c r="G117" s="19">
        <v>670</v>
      </c>
      <c r="H117" s="19">
        <v>12.1</v>
      </c>
      <c r="I117" s="19"/>
      <c r="J117" s="19" t="s">
        <v>122</v>
      </c>
      <c r="K117" s="19" t="b">
        <v>1</v>
      </c>
      <c r="L117" s="15">
        <v>2014</v>
      </c>
      <c r="M117" s="16">
        <v>679630</v>
      </c>
      <c r="N117" s="20">
        <v>41451</v>
      </c>
      <c r="O117" s="20">
        <v>41451</v>
      </c>
    </row>
    <row r="118" spans="1:15" ht="14.25">
      <c r="A118" s="17">
        <v>2013</v>
      </c>
      <c r="B118" s="18" t="s">
        <v>453</v>
      </c>
      <c r="C118" s="18" t="s">
        <v>454</v>
      </c>
      <c r="D118" s="19">
        <v>223000</v>
      </c>
      <c r="E118" s="19">
        <v>0</v>
      </c>
      <c r="F118" s="19"/>
      <c r="G118" s="19">
        <v>380</v>
      </c>
      <c r="H118" s="19">
        <v>6.2</v>
      </c>
      <c r="I118" s="19" t="s">
        <v>466</v>
      </c>
      <c r="J118" s="19" t="s">
        <v>90</v>
      </c>
      <c r="K118" s="19" t="b">
        <v>0</v>
      </c>
      <c r="L118" s="15">
        <v>2013</v>
      </c>
      <c r="M118" s="16">
        <v>0.4647</v>
      </c>
      <c r="N118" s="20">
        <v>41451</v>
      </c>
      <c r="O118" s="20">
        <v>41451</v>
      </c>
    </row>
    <row r="119" spans="1:15" ht="14.25">
      <c r="A119" s="17">
        <v>2013</v>
      </c>
      <c r="B119" s="18" t="s">
        <v>453</v>
      </c>
      <c r="C119" s="18" t="s">
        <v>454</v>
      </c>
      <c r="D119" s="19">
        <v>223000</v>
      </c>
      <c r="E119" s="19">
        <v>0</v>
      </c>
      <c r="F119" s="19"/>
      <c r="G119" s="19">
        <v>580</v>
      </c>
      <c r="H119" s="19">
        <v>11.1</v>
      </c>
      <c r="I119" s="19"/>
      <c r="J119" s="19" t="s">
        <v>111</v>
      </c>
      <c r="K119" s="19" t="b">
        <v>0</v>
      </c>
      <c r="L119" s="15">
        <v>2017</v>
      </c>
      <c r="M119" s="16">
        <v>31200000</v>
      </c>
      <c r="N119" s="20">
        <v>41451</v>
      </c>
      <c r="O119" s="20">
        <v>41451</v>
      </c>
    </row>
    <row r="120" spans="1:15" ht="14.25">
      <c r="A120" s="17">
        <v>2013</v>
      </c>
      <c r="B120" s="18" t="s">
        <v>453</v>
      </c>
      <c r="C120" s="18" t="s">
        <v>454</v>
      </c>
      <c r="D120" s="19">
        <v>223000</v>
      </c>
      <c r="E120" s="19">
        <v>0</v>
      </c>
      <c r="F120" s="19"/>
      <c r="G120" s="19">
        <v>50</v>
      </c>
      <c r="H120" s="19" t="s">
        <v>45</v>
      </c>
      <c r="I120" s="19"/>
      <c r="J120" s="19" t="s">
        <v>46</v>
      </c>
      <c r="K120" s="19" t="b">
        <v>1</v>
      </c>
      <c r="L120" s="15">
        <v>2026</v>
      </c>
      <c r="M120" s="16">
        <v>7700000</v>
      </c>
      <c r="N120" s="20">
        <v>41451</v>
      </c>
      <c r="O120" s="20">
        <v>41451</v>
      </c>
    </row>
    <row r="121" spans="1:15" ht="14.25">
      <c r="A121" s="17">
        <v>2013</v>
      </c>
      <c r="B121" s="18" t="s">
        <v>453</v>
      </c>
      <c r="C121" s="18" t="s">
        <v>454</v>
      </c>
      <c r="D121" s="19">
        <v>223000</v>
      </c>
      <c r="E121" s="19">
        <v>0</v>
      </c>
      <c r="F121" s="19"/>
      <c r="G121" s="19">
        <v>590</v>
      </c>
      <c r="H121" s="19">
        <v>11.2</v>
      </c>
      <c r="I121" s="19"/>
      <c r="J121" s="19" t="s">
        <v>112</v>
      </c>
      <c r="K121" s="19" t="b">
        <v>1</v>
      </c>
      <c r="L121" s="15">
        <v>2019</v>
      </c>
      <c r="M121" s="16">
        <v>12300000</v>
      </c>
      <c r="N121" s="20">
        <v>41451</v>
      </c>
      <c r="O121" s="20">
        <v>41451</v>
      </c>
    </row>
    <row r="122" spans="1:15" ht="14.25">
      <c r="A122" s="17">
        <v>2013</v>
      </c>
      <c r="B122" s="18" t="s">
        <v>453</v>
      </c>
      <c r="C122" s="18" t="s">
        <v>454</v>
      </c>
      <c r="D122" s="19">
        <v>223000</v>
      </c>
      <c r="E122" s="19">
        <v>0</v>
      </c>
      <c r="F122" s="19"/>
      <c r="G122" s="19">
        <v>30</v>
      </c>
      <c r="H122" s="19" t="s">
        <v>41</v>
      </c>
      <c r="I122" s="19"/>
      <c r="J122" s="19" t="s">
        <v>42</v>
      </c>
      <c r="K122" s="19" t="b">
        <v>1</v>
      </c>
      <c r="L122" s="15">
        <v>2023</v>
      </c>
      <c r="M122" s="16">
        <v>33000000</v>
      </c>
      <c r="N122" s="20">
        <v>41451</v>
      </c>
      <c r="O122" s="20">
        <v>41451</v>
      </c>
    </row>
    <row r="123" spans="1:15" ht="14.25">
      <c r="A123" s="17">
        <v>2013</v>
      </c>
      <c r="B123" s="18" t="s">
        <v>453</v>
      </c>
      <c r="C123" s="18" t="s">
        <v>454</v>
      </c>
      <c r="D123" s="19">
        <v>223000</v>
      </c>
      <c r="E123" s="19">
        <v>0</v>
      </c>
      <c r="F123" s="19"/>
      <c r="G123" s="19">
        <v>310</v>
      </c>
      <c r="H123" s="19">
        <v>5.1</v>
      </c>
      <c r="I123" s="19"/>
      <c r="J123" s="19" t="s">
        <v>81</v>
      </c>
      <c r="K123" s="19" t="b">
        <v>1</v>
      </c>
      <c r="L123" s="15">
        <v>2020</v>
      </c>
      <c r="M123" s="16">
        <v>2501733</v>
      </c>
      <c r="N123" s="20">
        <v>41451</v>
      </c>
      <c r="O123" s="20">
        <v>41451</v>
      </c>
    </row>
    <row r="124" spans="1:15" ht="14.25">
      <c r="A124" s="17">
        <v>2013</v>
      </c>
      <c r="B124" s="18" t="s">
        <v>453</v>
      </c>
      <c r="C124" s="18" t="s">
        <v>454</v>
      </c>
      <c r="D124" s="19">
        <v>223000</v>
      </c>
      <c r="E124" s="19">
        <v>0</v>
      </c>
      <c r="F124" s="19"/>
      <c r="G124" s="19">
        <v>505</v>
      </c>
      <c r="H124" s="19" t="s">
        <v>100</v>
      </c>
      <c r="I124" s="19" t="s">
        <v>464</v>
      </c>
      <c r="J124" s="19" t="s">
        <v>101</v>
      </c>
      <c r="K124" s="19" t="b">
        <v>0</v>
      </c>
      <c r="L124" s="15">
        <v>2013</v>
      </c>
      <c r="M124" s="16">
        <v>0.1492</v>
      </c>
      <c r="N124" s="20">
        <v>41451</v>
      </c>
      <c r="O124" s="20">
        <v>41451</v>
      </c>
    </row>
    <row r="125" spans="1:15" ht="14.25">
      <c r="A125" s="17">
        <v>2013</v>
      </c>
      <c r="B125" s="18" t="s">
        <v>453</v>
      </c>
      <c r="C125" s="18" t="s">
        <v>454</v>
      </c>
      <c r="D125" s="19">
        <v>223000</v>
      </c>
      <c r="E125" s="19">
        <v>0</v>
      </c>
      <c r="F125" s="19"/>
      <c r="G125" s="19">
        <v>380</v>
      </c>
      <c r="H125" s="19">
        <v>6.2</v>
      </c>
      <c r="I125" s="19" t="s">
        <v>466</v>
      </c>
      <c r="J125" s="19" t="s">
        <v>90</v>
      </c>
      <c r="K125" s="19" t="b">
        <v>0</v>
      </c>
      <c r="L125" s="15">
        <v>2025</v>
      </c>
      <c r="M125" s="16">
        <v>0.0056</v>
      </c>
      <c r="N125" s="20">
        <v>41451</v>
      </c>
      <c r="O125" s="20">
        <v>41451</v>
      </c>
    </row>
    <row r="126" spans="1:15" ht="14.25">
      <c r="A126" s="17">
        <v>2013</v>
      </c>
      <c r="B126" s="18" t="s">
        <v>453</v>
      </c>
      <c r="C126" s="18" t="s">
        <v>454</v>
      </c>
      <c r="D126" s="19">
        <v>223000</v>
      </c>
      <c r="E126" s="19">
        <v>0</v>
      </c>
      <c r="F126" s="19"/>
      <c r="G126" s="19">
        <v>505</v>
      </c>
      <c r="H126" s="19" t="s">
        <v>100</v>
      </c>
      <c r="I126" s="19" t="s">
        <v>464</v>
      </c>
      <c r="J126" s="19" t="s">
        <v>101</v>
      </c>
      <c r="K126" s="19" t="b">
        <v>0</v>
      </c>
      <c r="L126" s="15">
        <v>2025</v>
      </c>
      <c r="M126" s="16">
        <v>0.0131</v>
      </c>
      <c r="N126" s="20">
        <v>41451</v>
      </c>
      <c r="O126" s="20">
        <v>41451</v>
      </c>
    </row>
    <row r="127" spans="1:15" ht="14.25">
      <c r="A127" s="17">
        <v>2013</v>
      </c>
      <c r="B127" s="18" t="s">
        <v>453</v>
      </c>
      <c r="C127" s="18" t="s">
        <v>454</v>
      </c>
      <c r="D127" s="19">
        <v>223000</v>
      </c>
      <c r="E127" s="19">
        <v>0</v>
      </c>
      <c r="F127" s="19"/>
      <c r="G127" s="19">
        <v>890</v>
      </c>
      <c r="H127" s="19">
        <v>14.2</v>
      </c>
      <c r="I127" s="19"/>
      <c r="J127" s="19" t="s">
        <v>152</v>
      </c>
      <c r="K127" s="19" t="b">
        <v>1</v>
      </c>
      <c r="L127" s="15">
        <v>2013</v>
      </c>
      <c r="M127" s="16">
        <v>20600000</v>
      </c>
      <c r="N127" s="20">
        <v>41451</v>
      </c>
      <c r="O127" s="20">
        <v>41451</v>
      </c>
    </row>
    <row r="128" spans="1:15" ht="14.25">
      <c r="A128" s="17">
        <v>2013</v>
      </c>
      <c r="B128" s="18" t="s">
        <v>453</v>
      </c>
      <c r="C128" s="18" t="s">
        <v>454</v>
      </c>
      <c r="D128" s="19">
        <v>223000</v>
      </c>
      <c r="E128" s="19">
        <v>0</v>
      </c>
      <c r="F128" s="19"/>
      <c r="G128" s="19">
        <v>610</v>
      </c>
      <c r="H128" s="19" t="s">
        <v>114</v>
      </c>
      <c r="I128" s="19"/>
      <c r="J128" s="19" t="s">
        <v>115</v>
      </c>
      <c r="K128" s="19" t="b">
        <v>1</v>
      </c>
      <c r="L128" s="15">
        <v>2014</v>
      </c>
      <c r="M128" s="16">
        <v>701770</v>
      </c>
      <c r="N128" s="20">
        <v>41451</v>
      </c>
      <c r="O128" s="20">
        <v>41451</v>
      </c>
    </row>
    <row r="129" spans="1:15" ht="14.25">
      <c r="A129" s="17">
        <v>2013</v>
      </c>
      <c r="B129" s="18" t="s">
        <v>453</v>
      </c>
      <c r="C129" s="18" t="s">
        <v>454</v>
      </c>
      <c r="D129" s="19">
        <v>223000</v>
      </c>
      <c r="E129" s="19">
        <v>0</v>
      </c>
      <c r="F129" s="19"/>
      <c r="G129" s="19">
        <v>390</v>
      </c>
      <c r="H129" s="19">
        <v>6.3</v>
      </c>
      <c r="I129" s="19" t="s">
        <v>472</v>
      </c>
      <c r="J129" s="19" t="s">
        <v>91</v>
      </c>
      <c r="K129" s="19" t="b">
        <v>0</v>
      </c>
      <c r="L129" s="15">
        <v>2021</v>
      </c>
      <c r="M129" s="16">
        <v>0.0876</v>
      </c>
      <c r="N129" s="20">
        <v>41451</v>
      </c>
      <c r="O129" s="20">
        <v>41451</v>
      </c>
    </row>
    <row r="130" spans="1:15" ht="14.25">
      <c r="A130" s="17">
        <v>2013</v>
      </c>
      <c r="B130" s="18" t="s">
        <v>453</v>
      </c>
      <c r="C130" s="18" t="s">
        <v>454</v>
      </c>
      <c r="D130" s="19">
        <v>223000</v>
      </c>
      <c r="E130" s="19">
        <v>0</v>
      </c>
      <c r="F130" s="19"/>
      <c r="G130" s="19">
        <v>50</v>
      </c>
      <c r="H130" s="19" t="s">
        <v>45</v>
      </c>
      <c r="I130" s="19"/>
      <c r="J130" s="19" t="s">
        <v>46</v>
      </c>
      <c r="K130" s="19" t="b">
        <v>1</v>
      </c>
      <c r="L130" s="15">
        <v>2013</v>
      </c>
      <c r="M130" s="16">
        <v>7733000</v>
      </c>
      <c r="N130" s="20">
        <v>41451</v>
      </c>
      <c r="O130" s="20">
        <v>41451</v>
      </c>
    </row>
    <row r="131" spans="1:15" ht="14.25">
      <c r="A131" s="17">
        <v>2013</v>
      </c>
      <c r="B131" s="18" t="s">
        <v>453</v>
      </c>
      <c r="C131" s="18" t="s">
        <v>454</v>
      </c>
      <c r="D131" s="19">
        <v>223000</v>
      </c>
      <c r="E131" s="19">
        <v>0</v>
      </c>
      <c r="F131" s="19"/>
      <c r="G131" s="19">
        <v>880</v>
      </c>
      <c r="H131" s="19">
        <v>14.1</v>
      </c>
      <c r="I131" s="19"/>
      <c r="J131" s="19" t="s">
        <v>151</v>
      </c>
      <c r="K131" s="19" t="b">
        <v>1</v>
      </c>
      <c r="L131" s="15">
        <v>2023</v>
      </c>
      <c r="M131" s="16">
        <v>2154468</v>
      </c>
      <c r="N131" s="20">
        <v>41451</v>
      </c>
      <c r="O131" s="20">
        <v>41451</v>
      </c>
    </row>
    <row r="132" spans="1:15" ht="14.25">
      <c r="A132" s="17">
        <v>2013</v>
      </c>
      <c r="B132" s="18" t="s">
        <v>453</v>
      </c>
      <c r="C132" s="18" t="s">
        <v>454</v>
      </c>
      <c r="D132" s="19">
        <v>223000</v>
      </c>
      <c r="E132" s="19">
        <v>0</v>
      </c>
      <c r="F132" s="19"/>
      <c r="G132" s="19">
        <v>480</v>
      </c>
      <c r="H132" s="19">
        <v>9.4</v>
      </c>
      <c r="I132" s="19" t="s">
        <v>461</v>
      </c>
      <c r="J132" s="19" t="s">
        <v>97</v>
      </c>
      <c r="K132" s="19" t="b">
        <v>0</v>
      </c>
      <c r="L132" s="15">
        <v>2015</v>
      </c>
      <c r="M132" s="16">
        <v>0.0418</v>
      </c>
      <c r="N132" s="20">
        <v>41451</v>
      </c>
      <c r="O132" s="20">
        <v>41451</v>
      </c>
    </row>
    <row r="133" spans="1:15" ht="14.25">
      <c r="A133" s="17">
        <v>2013</v>
      </c>
      <c r="B133" s="18" t="s">
        <v>453</v>
      </c>
      <c r="C133" s="18" t="s">
        <v>454</v>
      </c>
      <c r="D133" s="19">
        <v>223000</v>
      </c>
      <c r="E133" s="19">
        <v>0</v>
      </c>
      <c r="F133" s="19"/>
      <c r="G133" s="19">
        <v>80</v>
      </c>
      <c r="H133" s="19" t="s">
        <v>51</v>
      </c>
      <c r="I133" s="19"/>
      <c r="J133" s="19" t="s">
        <v>52</v>
      </c>
      <c r="K133" s="19" t="b">
        <v>1</v>
      </c>
      <c r="L133" s="15">
        <v>2019</v>
      </c>
      <c r="M133" s="16">
        <v>14900000</v>
      </c>
      <c r="N133" s="20">
        <v>41451</v>
      </c>
      <c r="O133" s="20">
        <v>41451</v>
      </c>
    </row>
    <row r="134" spans="1:15" ht="14.25">
      <c r="A134" s="17">
        <v>2013</v>
      </c>
      <c r="B134" s="18" t="s">
        <v>453</v>
      </c>
      <c r="C134" s="18" t="s">
        <v>454</v>
      </c>
      <c r="D134" s="19">
        <v>223000</v>
      </c>
      <c r="E134" s="19">
        <v>0</v>
      </c>
      <c r="F134" s="19"/>
      <c r="G134" s="19">
        <v>180</v>
      </c>
      <c r="H134" s="19" t="s">
        <v>67</v>
      </c>
      <c r="I134" s="19"/>
      <c r="J134" s="19" t="s">
        <v>68</v>
      </c>
      <c r="K134" s="19" t="b">
        <v>0</v>
      </c>
      <c r="L134" s="15">
        <v>2020</v>
      </c>
      <c r="M134" s="16">
        <v>645858</v>
      </c>
      <c r="N134" s="20">
        <v>41451</v>
      </c>
      <c r="O134" s="20">
        <v>41451</v>
      </c>
    </row>
    <row r="135" spans="1:15" ht="14.25">
      <c r="A135" s="17">
        <v>2013</v>
      </c>
      <c r="B135" s="18" t="s">
        <v>453</v>
      </c>
      <c r="C135" s="18" t="s">
        <v>454</v>
      </c>
      <c r="D135" s="19">
        <v>223000</v>
      </c>
      <c r="E135" s="19">
        <v>0</v>
      </c>
      <c r="F135" s="19"/>
      <c r="G135" s="19">
        <v>480</v>
      </c>
      <c r="H135" s="19">
        <v>9.4</v>
      </c>
      <c r="I135" s="19" t="s">
        <v>461</v>
      </c>
      <c r="J135" s="19" t="s">
        <v>97</v>
      </c>
      <c r="K135" s="19" t="b">
        <v>0</v>
      </c>
      <c r="L135" s="15">
        <v>2026</v>
      </c>
      <c r="M135" s="16">
        <v>0.0058</v>
      </c>
      <c r="N135" s="20">
        <v>41451</v>
      </c>
      <c r="O135" s="20">
        <v>41451</v>
      </c>
    </row>
    <row r="136" spans="1:15" ht="14.25">
      <c r="A136" s="17">
        <v>2013</v>
      </c>
      <c r="B136" s="18" t="s">
        <v>453</v>
      </c>
      <c r="C136" s="18" t="s">
        <v>454</v>
      </c>
      <c r="D136" s="19">
        <v>223000</v>
      </c>
      <c r="E136" s="19">
        <v>0</v>
      </c>
      <c r="F136" s="19"/>
      <c r="G136" s="19">
        <v>450</v>
      </c>
      <c r="H136" s="19">
        <v>9.1</v>
      </c>
      <c r="I136" s="19" t="s">
        <v>459</v>
      </c>
      <c r="J136" s="19" t="s">
        <v>95</v>
      </c>
      <c r="K136" s="19" t="b">
        <v>1</v>
      </c>
      <c r="L136" s="15">
        <v>2021</v>
      </c>
      <c r="M136" s="16">
        <v>0.0353</v>
      </c>
      <c r="N136" s="20">
        <v>41451</v>
      </c>
      <c r="O136" s="20">
        <v>41451</v>
      </c>
    </row>
    <row r="137" spans="1:15" ht="14.25">
      <c r="A137" s="17">
        <v>2013</v>
      </c>
      <c r="B137" s="18" t="s">
        <v>453</v>
      </c>
      <c r="C137" s="18" t="s">
        <v>454</v>
      </c>
      <c r="D137" s="19">
        <v>223000</v>
      </c>
      <c r="E137" s="19">
        <v>0</v>
      </c>
      <c r="F137" s="19"/>
      <c r="G137" s="19">
        <v>350</v>
      </c>
      <c r="H137" s="19">
        <v>6</v>
      </c>
      <c r="I137" s="19"/>
      <c r="J137" s="19" t="s">
        <v>27</v>
      </c>
      <c r="K137" s="19" t="b">
        <v>1</v>
      </c>
      <c r="L137" s="15">
        <v>2022</v>
      </c>
      <c r="M137" s="16">
        <v>5308928</v>
      </c>
      <c r="N137" s="20">
        <v>41451</v>
      </c>
      <c r="O137" s="20">
        <v>41451</v>
      </c>
    </row>
    <row r="138" spans="1:15" ht="14.25">
      <c r="A138" s="17">
        <v>2013</v>
      </c>
      <c r="B138" s="18" t="s">
        <v>453</v>
      </c>
      <c r="C138" s="18" t="s">
        <v>454</v>
      </c>
      <c r="D138" s="19">
        <v>223000</v>
      </c>
      <c r="E138" s="19">
        <v>0</v>
      </c>
      <c r="F138" s="19"/>
      <c r="G138" s="19">
        <v>560</v>
      </c>
      <c r="H138" s="19">
        <v>10.1</v>
      </c>
      <c r="I138" s="19"/>
      <c r="J138" s="19" t="s">
        <v>109</v>
      </c>
      <c r="K138" s="19" t="b">
        <v>0</v>
      </c>
      <c r="L138" s="15">
        <v>2017</v>
      </c>
      <c r="M138" s="16">
        <v>2501733</v>
      </c>
      <c r="N138" s="20">
        <v>41451</v>
      </c>
      <c r="O138" s="20">
        <v>41451</v>
      </c>
    </row>
    <row r="139" spans="1:15" ht="14.25">
      <c r="A139" s="17">
        <v>2013</v>
      </c>
      <c r="B139" s="18" t="s">
        <v>453</v>
      </c>
      <c r="C139" s="18" t="s">
        <v>454</v>
      </c>
      <c r="D139" s="19">
        <v>223000</v>
      </c>
      <c r="E139" s="19">
        <v>0</v>
      </c>
      <c r="F139" s="19"/>
      <c r="G139" s="19">
        <v>80</v>
      </c>
      <c r="H139" s="19" t="s">
        <v>51</v>
      </c>
      <c r="I139" s="19"/>
      <c r="J139" s="19" t="s">
        <v>52</v>
      </c>
      <c r="K139" s="19" t="b">
        <v>1</v>
      </c>
      <c r="L139" s="15">
        <v>2015</v>
      </c>
      <c r="M139" s="16">
        <v>14240650</v>
      </c>
      <c r="N139" s="20">
        <v>41451</v>
      </c>
      <c r="O139" s="20">
        <v>41451</v>
      </c>
    </row>
    <row r="140" spans="1:15" ht="14.25">
      <c r="A140" s="17">
        <v>2013</v>
      </c>
      <c r="B140" s="18" t="s">
        <v>453</v>
      </c>
      <c r="C140" s="18" t="s">
        <v>454</v>
      </c>
      <c r="D140" s="19">
        <v>223000</v>
      </c>
      <c r="E140" s="19">
        <v>0</v>
      </c>
      <c r="F140" s="19"/>
      <c r="G140" s="19">
        <v>40</v>
      </c>
      <c r="H140" s="19" t="s">
        <v>43</v>
      </c>
      <c r="I140" s="19"/>
      <c r="J140" s="19" t="s">
        <v>44</v>
      </c>
      <c r="K140" s="19" t="b">
        <v>1</v>
      </c>
      <c r="L140" s="15">
        <v>2021</v>
      </c>
      <c r="M140" s="16">
        <v>2800000</v>
      </c>
      <c r="N140" s="20">
        <v>41451</v>
      </c>
      <c r="O140" s="20">
        <v>41451</v>
      </c>
    </row>
    <row r="141" spans="1:15" ht="14.25">
      <c r="A141" s="17">
        <v>2013</v>
      </c>
      <c r="B141" s="18" t="s">
        <v>453</v>
      </c>
      <c r="C141" s="18" t="s">
        <v>454</v>
      </c>
      <c r="D141" s="19">
        <v>223000</v>
      </c>
      <c r="E141" s="19">
        <v>0</v>
      </c>
      <c r="F141" s="19"/>
      <c r="G141" s="19">
        <v>590</v>
      </c>
      <c r="H141" s="19">
        <v>11.2</v>
      </c>
      <c r="I141" s="19"/>
      <c r="J141" s="19" t="s">
        <v>112</v>
      </c>
      <c r="K141" s="19" t="b">
        <v>1</v>
      </c>
      <c r="L141" s="15">
        <v>2025</v>
      </c>
      <c r="M141" s="16">
        <v>12850000</v>
      </c>
      <c r="N141" s="20">
        <v>41451</v>
      </c>
      <c r="O141" s="20">
        <v>41451</v>
      </c>
    </row>
    <row r="142" spans="1:15" ht="14.25">
      <c r="A142" s="17">
        <v>2013</v>
      </c>
      <c r="B142" s="18" t="s">
        <v>453</v>
      </c>
      <c r="C142" s="18" t="s">
        <v>454</v>
      </c>
      <c r="D142" s="19">
        <v>223000</v>
      </c>
      <c r="E142" s="19">
        <v>0</v>
      </c>
      <c r="F142" s="19"/>
      <c r="G142" s="19">
        <v>20</v>
      </c>
      <c r="H142" s="19">
        <v>1.1</v>
      </c>
      <c r="I142" s="19"/>
      <c r="J142" s="19" t="s">
        <v>40</v>
      </c>
      <c r="K142" s="19" t="b">
        <v>1</v>
      </c>
      <c r="L142" s="15">
        <v>2024</v>
      </c>
      <c r="M142" s="16">
        <v>86585781</v>
      </c>
      <c r="N142" s="20">
        <v>41451</v>
      </c>
      <c r="O142" s="20">
        <v>41451</v>
      </c>
    </row>
    <row r="143" spans="1:15" ht="14.25">
      <c r="A143" s="17">
        <v>2013</v>
      </c>
      <c r="B143" s="18" t="s">
        <v>453</v>
      </c>
      <c r="C143" s="18" t="s">
        <v>454</v>
      </c>
      <c r="D143" s="19">
        <v>223000</v>
      </c>
      <c r="E143" s="19">
        <v>0</v>
      </c>
      <c r="F143" s="19"/>
      <c r="G143" s="19">
        <v>630</v>
      </c>
      <c r="H143" s="19">
        <v>11.4</v>
      </c>
      <c r="I143" s="19"/>
      <c r="J143" s="19" t="s">
        <v>118</v>
      </c>
      <c r="K143" s="19" t="b">
        <v>1</v>
      </c>
      <c r="L143" s="15">
        <v>2014</v>
      </c>
      <c r="M143" s="16">
        <v>15902403</v>
      </c>
      <c r="N143" s="20">
        <v>41451</v>
      </c>
      <c r="O143" s="20">
        <v>41451</v>
      </c>
    </row>
    <row r="144" spans="1:15" ht="14.25">
      <c r="A144" s="17">
        <v>2013</v>
      </c>
      <c r="B144" s="18" t="s">
        <v>453</v>
      </c>
      <c r="C144" s="18" t="s">
        <v>454</v>
      </c>
      <c r="D144" s="19">
        <v>223000</v>
      </c>
      <c r="E144" s="19">
        <v>0</v>
      </c>
      <c r="F144" s="19"/>
      <c r="G144" s="19">
        <v>10</v>
      </c>
      <c r="H144" s="19">
        <v>1</v>
      </c>
      <c r="I144" s="19" t="s">
        <v>457</v>
      </c>
      <c r="J144" s="19" t="s">
        <v>26</v>
      </c>
      <c r="K144" s="19" t="b">
        <v>1</v>
      </c>
      <c r="L144" s="15">
        <v>2013</v>
      </c>
      <c r="M144" s="16">
        <v>107375761</v>
      </c>
      <c r="N144" s="20">
        <v>41451</v>
      </c>
      <c r="O144" s="20">
        <v>41451</v>
      </c>
    </row>
    <row r="145" spans="1:15" ht="14.25">
      <c r="A145" s="17">
        <v>2013</v>
      </c>
      <c r="B145" s="18" t="s">
        <v>453</v>
      </c>
      <c r="C145" s="18" t="s">
        <v>454</v>
      </c>
      <c r="D145" s="19">
        <v>223000</v>
      </c>
      <c r="E145" s="19">
        <v>0</v>
      </c>
      <c r="F145" s="19"/>
      <c r="G145" s="19">
        <v>40</v>
      </c>
      <c r="H145" s="19" t="s">
        <v>43</v>
      </c>
      <c r="I145" s="19"/>
      <c r="J145" s="19" t="s">
        <v>44</v>
      </c>
      <c r="K145" s="19" t="b">
        <v>1</v>
      </c>
      <c r="L145" s="15">
        <v>2015</v>
      </c>
      <c r="M145" s="16">
        <v>2500000</v>
      </c>
      <c r="N145" s="20">
        <v>41451</v>
      </c>
      <c r="O145" s="20">
        <v>41451</v>
      </c>
    </row>
    <row r="146" spans="1:15" ht="14.25">
      <c r="A146" s="17">
        <v>2013</v>
      </c>
      <c r="B146" s="18" t="s">
        <v>453</v>
      </c>
      <c r="C146" s="18" t="s">
        <v>454</v>
      </c>
      <c r="D146" s="19">
        <v>223000</v>
      </c>
      <c r="E146" s="19">
        <v>0</v>
      </c>
      <c r="F146" s="19"/>
      <c r="G146" s="19">
        <v>640</v>
      </c>
      <c r="H146" s="19">
        <v>11.5</v>
      </c>
      <c r="I146" s="19"/>
      <c r="J146" s="19" t="s">
        <v>119</v>
      </c>
      <c r="K146" s="19" t="b">
        <v>1</v>
      </c>
      <c r="L146" s="15">
        <v>2013</v>
      </c>
      <c r="M146" s="16">
        <v>562676</v>
      </c>
      <c r="N146" s="20">
        <v>41451</v>
      </c>
      <c r="O146" s="20">
        <v>41451</v>
      </c>
    </row>
    <row r="147" spans="1:15" ht="14.25">
      <c r="A147" s="17">
        <v>2013</v>
      </c>
      <c r="B147" s="18" t="s">
        <v>453</v>
      </c>
      <c r="C147" s="18" t="s">
        <v>454</v>
      </c>
      <c r="D147" s="19">
        <v>223000</v>
      </c>
      <c r="E147" s="19">
        <v>0</v>
      </c>
      <c r="F147" s="19"/>
      <c r="G147" s="19">
        <v>420</v>
      </c>
      <c r="H147" s="19">
        <v>8.1</v>
      </c>
      <c r="I147" s="19" t="s">
        <v>456</v>
      </c>
      <c r="J147" s="19" t="s">
        <v>93</v>
      </c>
      <c r="K147" s="19" t="b">
        <v>0</v>
      </c>
      <c r="L147" s="15">
        <v>2022</v>
      </c>
      <c r="M147" s="16">
        <v>1654468</v>
      </c>
      <c r="N147" s="20">
        <v>41451</v>
      </c>
      <c r="O147" s="20">
        <v>41451</v>
      </c>
    </row>
    <row r="148" spans="1:15" ht="14.25">
      <c r="A148" s="17">
        <v>2013</v>
      </c>
      <c r="B148" s="18" t="s">
        <v>453</v>
      </c>
      <c r="C148" s="18" t="s">
        <v>454</v>
      </c>
      <c r="D148" s="19">
        <v>223000</v>
      </c>
      <c r="E148" s="19">
        <v>0</v>
      </c>
      <c r="F148" s="19"/>
      <c r="G148" s="19">
        <v>70</v>
      </c>
      <c r="H148" s="19" t="s">
        <v>49</v>
      </c>
      <c r="I148" s="19"/>
      <c r="J148" s="19" t="s">
        <v>50</v>
      </c>
      <c r="K148" s="19" t="b">
        <v>1</v>
      </c>
      <c r="L148" s="15">
        <v>2017</v>
      </c>
      <c r="M148" s="16">
        <v>25400000</v>
      </c>
      <c r="N148" s="20">
        <v>41451</v>
      </c>
      <c r="O148" s="20">
        <v>41451</v>
      </c>
    </row>
    <row r="149" spans="1:15" ht="14.25">
      <c r="A149" s="17">
        <v>2013</v>
      </c>
      <c r="B149" s="18" t="s">
        <v>453</v>
      </c>
      <c r="C149" s="18" t="s">
        <v>454</v>
      </c>
      <c r="D149" s="19">
        <v>223000</v>
      </c>
      <c r="E149" s="19">
        <v>0</v>
      </c>
      <c r="F149" s="19"/>
      <c r="G149" s="19">
        <v>180</v>
      </c>
      <c r="H149" s="19" t="s">
        <v>67</v>
      </c>
      <c r="I149" s="19"/>
      <c r="J149" s="19" t="s">
        <v>68</v>
      </c>
      <c r="K149" s="19" t="b">
        <v>0</v>
      </c>
      <c r="L149" s="15">
        <v>2017</v>
      </c>
      <c r="M149" s="16">
        <v>1068599</v>
      </c>
      <c r="N149" s="20">
        <v>41451</v>
      </c>
      <c r="O149" s="20">
        <v>41451</v>
      </c>
    </row>
    <row r="150" spans="1:15" ht="14.25">
      <c r="A150" s="17">
        <v>2013</v>
      </c>
      <c r="B150" s="18" t="s">
        <v>453</v>
      </c>
      <c r="C150" s="18" t="s">
        <v>454</v>
      </c>
      <c r="D150" s="19">
        <v>223000</v>
      </c>
      <c r="E150" s="19">
        <v>0</v>
      </c>
      <c r="F150" s="19"/>
      <c r="G150" s="19">
        <v>390</v>
      </c>
      <c r="H150" s="19">
        <v>6.3</v>
      </c>
      <c r="I150" s="19" t="s">
        <v>472</v>
      </c>
      <c r="J150" s="19" t="s">
        <v>91</v>
      </c>
      <c r="K150" s="19" t="b">
        <v>0</v>
      </c>
      <c r="L150" s="15">
        <v>2017</v>
      </c>
      <c r="M150" s="16">
        <v>0.2132</v>
      </c>
      <c r="N150" s="20">
        <v>41451</v>
      </c>
      <c r="O150" s="20">
        <v>41451</v>
      </c>
    </row>
    <row r="151" spans="1:15" ht="14.25">
      <c r="A151" s="17">
        <v>2013</v>
      </c>
      <c r="B151" s="18" t="s">
        <v>453</v>
      </c>
      <c r="C151" s="18" t="s">
        <v>454</v>
      </c>
      <c r="D151" s="19">
        <v>223000</v>
      </c>
      <c r="E151" s="19">
        <v>0</v>
      </c>
      <c r="F151" s="19"/>
      <c r="G151" s="19">
        <v>190</v>
      </c>
      <c r="H151" s="19">
        <v>2.2</v>
      </c>
      <c r="I151" s="19"/>
      <c r="J151" s="19" t="s">
        <v>69</v>
      </c>
      <c r="K151" s="19" t="b">
        <v>0</v>
      </c>
      <c r="L151" s="15">
        <v>2020</v>
      </c>
      <c r="M151" s="16">
        <v>660000</v>
      </c>
      <c r="N151" s="20">
        <v>41451</v>
      </c>
      <c r="O151" s="20">
        <v>41451</v>
      </c>
    </row>
    <row r="152" spans="1:15" ht="14.25">
      <c r="A152" s="17">
        <v>2013</v>
      </c>
      <c r="B152" s="18" t="s">
        <v>453</v>
      </c>
      <c r="C152" s="18" t="s">
        <v>454</v>
      </c>
      <c r="D152" s="19">
        <v>223000</v>
      </c>
      <c r="E152" s="19">
        <v>0</v>
      </c>
      <c r="F152" s="19"/>
      <c r="G152" s="19">
        <v>510</v>
      </c>
      <c r="H152" s="19">
        <v>9.7</v>
      </c>
      <c r="I152" s="19"/>
      <c r="J152" s="19" t="s">
        <v>473</v>
      </c>
      <c r="K152" s="19" t="b">
        <v>1</v>
      </c>
      <c r="L152" s="15">
        <v>2023</v>
      </c>
      <c r="M152" s="16">
        <v>0.0358</v>
      </c>
      <c r="N152" s="20">
        <v>41451</v>
      </c>
      <c r="O152" s="20">
        <v>41451</v>
      </c>
    </row>
    <row r="153" spans="1:15" ht="14.25">
      <c r="A153" s="17">
        <v>2013</v>
      </c>
      <c r="B153" s="18" t="s">
        <v>453</v>
      </c>
      <c r="C153" s="18" t="s">
        <v>454</v>
      </c>
      <c r="D153" s="19">
        <v>223000</v>
      </c>
      <c r="E153" s="19">
        <v>0</v>
      </c>
      <c r="F153" s="19"/>
      <c r="G153" s="19">
        <v>70</v>
      </c>
      <c r="H153" s="19" t="s">
        <v>49</v>
      </c>
      <c r="I153" s="19"/>
      <c r="J153" s="19" t="s">
        <v>50</v>
      </c>
      <c r="K153" s="19" t="b">
        <v>1</v>
      </c>
      <c r="L153" s="15">
        <v>2013</v>
      </c>
      <c r="M153" s="16">
        <v>24997891</v>
      </c>
      <c r="N153" s="20">
        <v>41451</v>
      </c>
      <c r="O153" s="20">
        <v>41451</v>
      </c>
    </row>
    <row r="154" spans="1:15" ht="14.25">
      <c r="A154" s="17">
        <v>2013</v>
      </c>
      <c r="B154" s="18" t="s">
        <v>453</v>
      </c>
      <c r="C154" s="18" t="s">
        <v>454</v>
      </c>
      <c r="D154" s="19">
        <v>223000</v>
      </c>
      <c r="E154" s="19">
        <v>0</v>
      </c>
      <c r="F154" s="19"/>
      <c r="G154" s="19">
        <v>630</v>
      </c>
      <c r="H154" s="19">
        <v>11.4</v>
      </c>
      <c r="I154" s="19"/>
      <c r="J154" s="19" t="s">
        <v>118</v>
      </c>
      <c r="K154" s="19" t="b">
        <v>1</v>
      </c>
      <c r="L154" s="15">
        <v>2015</v>
      </c>
      <c r="M154" s="16">
        <v>13202403</v>
      </c>
      <c r="N154" s="20">
        <v>41451</v>
      </c>
      <c r="O154" s="20">
        <v>41451</v>
      </c>
    </row>
    <row r="155" spans="1:15" ht="14.25">
      <c r="A155" s="17">
        <v>2013</v>
      </c>
      <c r="B155" s="18" t="s">
        <v>453</v>
      </c>
      <c r="C155" s="18" t="s">
        <v>454</v>
      </c>
      <c r="D155" s="19">
        <v>223000</v>
      </c>
      <c r="E155" s="19">
        <v>0</v>
      </c>
      <c r="F155" s="19"/>
      <c r="G155" s="19">
        <v>430</v>
      </c>
      <c r="H155" s="19">
        <v>8.2</v>
      </c>
      <c r="I155" s="19" t="s">
        <v>471</v>
      </c>
      <c r="J155" s="19" t="s">
        <v>94</v>
      </c>
      <c r="K155" s="19" t="b">
        <v>0</v>
      </c>
      <c r="L155" s="15">
        <v>2020</v>
      </c>
      <c r="M155" s="16">
        <v>2001733</v>
      </c>
      <c r="N155" s="20">
        <v>41451</v>
      </c>
      <c r="O155" s="20">
        <v>41451</v>
      </c>
    </row>
    <row r="156" spans="1:15" ht="14.25">
      <c r="A156" s="17">
        <v>2013</v>
      </c>
      <c r="B156" s="18" t="s">
        <v>453</v>
      </c>
      <c r="C156" s="18" t="s">
        <v>454</v>
      </c>
      <c r="D156" s="19">
        <v>223000</v>
      </c>
      <c r="E156" s="19">
        <v>0</v>
      </c>
      <c r="F156" s="19"/>
      <c r="G156" s="19">
        <v>120</v>
      </c>
      <c r="H156" s="19">
        <v>2</v>
      </c>
      <c r="I156" s="19" t="s">
        <v>469</v>
      </c>
      <c r="J156" s="19" t="s">
        <v>21</v>
      </c>
      <c r="K156" s="19" t="b">
        <v>0</v>
      </c>
      <c r="L156" s="15">
        <v>2020</v>
      </c>
      <c r="M156" s="16">
        <v>81778948</v>
      </c>
      <c r="N156" s="20">
        <v>41451</v>
      </c>
      <c r="O156" s="20">
        <v>41451</v>
      </c>
    </row>
    <row r="157" spans="1:15" ht="14.25">
      <c r="A157" s="17">
        <v>2013</v>
      </c>
      <c r="B157" s="18" t="s">
        <v>453</v>
      </c>
      <c r="C157" s="18" t="s">
        <v>454</v>
      </c>
      <c r="D157" s="19">
        <v>223000</v>
      </c>
      <c r="E157" s="19">
        <v>0</v>
      </c>
      <c r="F157" s="19"/>
      <c r="G157" s="19">
        <v>10</v>
      </c>
      <c r="H157" s="19">
        <v>1</v>
      </c>
      <c r="I157" s="19" t="s">
        <v>457</v>
      </c>
      <c r="J157" s="19" t="s">
        <v>26</v>
      </c>
      <c r="K157" s="19" t="b">
        <v>1</v>
      </c>
      <c r="L157" s="15">
        <v>2021</v>
      </c>
      <c r="M157" s="16">
        <v>85221748</v>
      </c>
      <c r="N157" s="20">
        <v>41451</v>
      </c>
      <c r="O157" s="20">
        <v>41451</v>
      </c>
    </row>
    <row r="158" spans="1:15" ht="14.25">
      <c r="A158" s="17">
        <v>2013</v>
      </c>
      <c r="B158" s="18" t="s">
        <v>453</v>
      </c>
      <c r="C158" s="18" t="s">
        <v>454</v>
      </c>
      <c r="D158" s="19">
        <v>223000</v>
      </c>
      <c r="E158" s="19">
        <v>0</v>
      </c>
      <c r="F158" s="19"/>
      <c r="G158" s="19">
        <v>10</v>
      </c>
      <c r="H158" s="19">
        <v>1</v>
      </c>
      <c r="I158" s="19" t="s">
        <v>457</v>
      </c>
      <c r="J158" s="19" t="s">
        <v>26</v>
      </c>
      <c r="K158" s="19" t="b">
        <v>1</v>
      </c>
      <c r="L158" s="15">
        <v>2015</v>
      </c>
      <c r="M158" s="16">
        <v>92156058</v>
      </c>
      <c r="N158" s="20">
        <v>41451</v>
      </c>
      <c r="O158" s="20">
        <v>41451</v>
      </c>
    </row>
    <row r="159" spans="1:15" ht="14.25">
      <c r="A159" s="17">
        <v>2013</v>
      </c>
      <c r="B159" s="18" t="s">
        <v>453</v>
      </c>
      <c r="C159" s="18" t="s">
        <v>454</v>
      </c>
      <c r="D159" s="19">
        <v>223000</v>
      </c>
      <c r="E159" s="19">
        <v>0</v>
      </c>
      <c r="F159" s="19"/>
      <c r="G159" s="19">
        <v>560</v>
      </c>
      <c r="H159" s="19">
        <v>10.1</v>
      </c>
      <c r="I159" s="19"/>
      <c r="J159" s="19" t="s">
        <v>109</v>
      </c>
      <c r="K159" s="19" t="b">
        <v>0</v>
      </c>
      <c r="L159" s="15">
        <v>2018</v>
      </c>
      <c r="M159" s="16">
        <v>2501733</v>
      </c>
      <c r="N159" s="20">
        <v>41451</v>
      </c>
      <c r="O159" s="20">
        <v>41451</v>
      </c>
    </row>
    <row r="160" spans="1:15" ht="14.25">
      <c r="A160" s="17">
        <v>2013</v>
      </c>
      <c r="B160" s="18" t="s">
        <v>453</v>
      </c>
      <c r="C160" s="18" t="s">
        <v>454</v>
      </c>
      <c r="D160" s="19">
        <v>223000</v>
      </c>
      <c r="E160" s="19">
        <v>0</v>
      </c>
      <c r="F160" s="19"/>
      <c r="G160" s="19">
        <v>310</v>
      </c>
      <c r="H160" s="19">
        <v>5.1</v>
      </c>
      <c r="I160" s="19"/>
      <c r="J160" s="19" t="s">
        <v>81</v>
      </c>
      <c r="K160" s="19" t="b">
        <v>1</v>
      </c>
      <c r="L160" s="15">
        <v>2015</v>
      </c>
      <c r="M160" s="16">
        <v>2501733</v>
      </c>
      <c r="N160" s="20">
        <v>41451</v>
      </c>
      <c r="O160" s="20">
        <v>41451</v>
      </c>
    </row>
    <row r="161" spans="1:15" ht="14.25">
      <c r="A161" s="17">
        <v>2013</v>
      </c>
      <c r="B161" s="18" t="s">
        <v>453</v>
      </c>
      <c r="C161" s="18" t="s">
        <v>454</v>
      </c>
      <c r="D161" s="19">
        <v>223000</v>
      </c>
      <c r="E161" s="19">
        <v>0</v>
      </c>
      <c r="F161" s="19"/>
      <c r="G161" s="19">
        <v>390</v>
      </c>
      <c r="H161" s="19">
        <v>6.3</v>
      </c>
      <c r="I161" s="19" t="s">
        <v>472</v>
      </c>
      <c r="J161" s="19" t="s">
        <v>91</v>
      </c>
      <c r="K161" s="19" t="b">
        <v>0</v>
      </c>
      <c r="L161" s="15">
        <v>2013</v>
      </c>
      <c r="M161" s="16">
        <v>0.4647</v>
      </c>
      <c r="N161" s="20">
        <v>41451</v>
      </c>
      <c r="O161" s="20">
        <v>41451</v>
      </c>
    </row>
    <row r="162" spans="1:15" ht="14.25">
      <c r="A162" s="17">
        <v>2013</v>
      </c>
      <c r="B162" s="18" t="s">
        <v>453</v>
      </c>
      <c r="C162" s="18" t="s">
        <v>454</v>
      </c>
      <c r="D162" s="19">
        <v>223000</v>
      </c>
      <c r="E162" s="19">
        <v>0</v>
      </c>
      <c r="F162" s="19"/>
      <c r="G162" s="19">
        <v>920</v>
      </c>
      <c r="H162" s="19" t="s">
        <v>156</v>
      </c>
      <c r="I162" s="19"/>
      <c r="J162" s="19" t="s">
        <v>157</v>
      </c>
      <c r="K162" s="19" t="b">
        <v>1</v>
      </c>
      <c r="L162" s="15">
        <v>2015</v>
      </c>
      <c r="M162" s="16">
        <v>8600000</v>
      </c>
      <c r="N162" s="20">
        <v>41451</v>
      </c>
      <c r="O162" s="20">
        <v>41451</v>
      </c>
    </row>
    <row r="163" spans="1:15" ht="14.25">
      <c r="A163" s="17">
        <v>2013</v>
      </c>
      <c r="B163" s="18" t="s">
        <v>453</v>
      </c>
      <c r="C163" s="18" t="s">
        <v>454</v>
      </c>
      <c r="D163" s="19">
        <v>223000</v>
      </c>
      <c r="E163" s="19">
        <v>0</v>
      </c>
      <c r="F163" s="19"/>
      <c r="G163" s="19">
        <v>130</v>
      </c>
      <c r="H163" s="19">
        <v>2.1</v>
      </c>
      <c r="I163" s="19"/>
      <c r="J163" s="19" t="s">
        <v>58</v>
      </c>
      <c r="K163" s="19" t="b">
        <v>1</v>
      </c>
      <c r="L163" s="15">
        <v>2019</v>
      </c>
      <c r="M163" s="16">
        <v>80179242</v>
      </c>
      <c r="N163" s="20">
        <v>41451</v>
      </c>
      <c r="O163" s="20">
        <v>41451</v>
      </c>
    </row>
    <row r="164" spans="1:15" ht="14.25">
      <c r="A164" s="17">
        <v>2013</v>
      </c>
      <c r="B164" s="18" t="s">
        <v>453</v>
      </c>
      <c r="C164" s="18" t="s">
        <v>454</v>
      </c>
      <c r="D164" s="19">
        <v>223000</v>
      </c>
      <c r="E164" s="19">
        <v>0</v>
      </c>
      <c r="F164" s="19"/>
      <c r="G164" s="19">
        <v>770</v>
      </c>
      <c r="H164" s="19" t="s">
        <v>138</v>
      </c>
      <c r="I164" s="19"/>
      <c r="J164" s="19" t="s">
        <v>139</v>
      </c>
      <c r="K164" s="19" t="b">
        <v>1</v>
      </c>
      <c r="L164" s="15">
        <v>2013</v>
      </c>
      <c r="M164" s="16">
        <v>179391</v>
      </c>
      <c r="N164" s="20">
        <v>41451</v>
      </c>
      <c r="O164" s="20">
        <v>41451</v>
      </c>
    </row>
    <row r="165" spans="1:15" ht="14.25">
      <c r="A165" s="17">
        <v>2013</v>
      </c>
      <c r="B165" s="18" t="s">
        <v>453</v>
      </c>
      <c r="C165" s="18" t="s">
        <v>454</v>
      </c>
      <c r="D165" s="19">
        <v>223000</v>
      </c>
      <c r="E165" s="19">
        <v>0</v>
      </c>
      <c r="F165" s="19"/>
      <c r="G165" s="19">
        <v>80</v>
      </c>
      <c r="H165" s="19" t="s">
        <v>51</v>
      </c>
      <c r="I165" s="19"/>
      <c r="J165" s="19" t="s">
        <v>52</v>
      </c>
      <c r="K165" s="19" t="b">
        <v>1</v>
      </c>
      <c r="L165" s="15">
        <v>2020</v>
      </c>
      <c r="M165" s="16">
        <v>15100000</v>
      </c>
      <c r="N165" s="20">
        <v>41451</v>
      </c>
      <c r="O165" s="20">
        <v>41451</v>
      </c>
    </row>
    <row r="166" spans="1:15" ht="14.25">
      <c r="A166" s="17">
        <v>2013</v>
      </c>
      <c r="B166" s="18" t="s">
        <v>453</v>
      </c>
      <c r="C166" s="18" t="s">
        <v>454</v>
      </c>
      <c r="D166" s="19">
        <v>223000</v>
      </c>
      <c r="E166" s="19">
        <v>0</v>
      </c>
      <c r="F166" s="19"/>
      <c r="G166" s="19">
        <v>620</v>
      </c>
      <c r="H166" s="19" t="s">
        <v>116</v>
      </c>
      <c r="I166" s="19"/>
      <c r="J166" s="19" t="s">
        <v>117</v>
      </c>
      <c r="K166" s="19" t="b">
        <v>1</v>
      </c>
      <c r="L166" s="15">
        <v>2013</v>
      </c>
      <c r="M166" s="16">
        <v>19014515</v>
      </c>
      <c r="N166" s="20">
        <v>41451</v>
      </c>
      <c r="O166" s="20">
        <v>41451</v>
      </c>
    </row>
    <row r="167" spans="1:15" ht="14.25">
      <c r="A167" s="17">
        <v>2013</v>
      </c>
      <c r="B167" s="18" t="s">
        <v>453</v>
      </c>
      <c r="C167" s="18" t="s">
        <v>454</v>
      </c>
      <c r="D167" s="19">
        <v>223000</v>
      </c>
      <c r="E167" s="19">
        <v>0</v>
      </c>
      <c r="F167" s="19"/>
      <c r="G167" s="19">
        <v>560</v>
      </c>
      <c r="H167" s="19">
        <v>10.1</v>
      </c>
      <c r="I167" s="19"/>
      <c r="J167" s="19" t="s">
        <v>109</v>
      </c>
      <c r="K167" s="19" t="b">
        <v>0</v>
      </c>
      <c r="L167" s="15">
        <v>2015</v>
      </c>
      <c r="M167" s="16">
        <v>2501733</v>
      </c>
      <c r="N167" s="20">
        <v>41451</v>
      </c>
      <c r="O167" s="20">
        <v>41451</v>
      </c>
    </row>
    <row r="168" spans="1:15" ht="14.25">
      <c r="A168" s="17">
        <v>2013</v>
      </c>
      <c r="B168" s="18" t="s">
        <v>453</v>
      </c>
      <c r="C168" s="18" t="s">
        <v>454</v>
      </c>
      <c r="D168" s="19">
        <v>223000</v>
      </c>
      <c r="E168" s="19">
        <v>0</v>
      </c>
      <c r="F168" s="19"/>
      <c r="G168" s="19">
        <v>380</v>
      </c>
      <c r="H168" s="19">
        <v>6.2</v>
      </c>
      <c r="I168" s="19" t="s">
        <v>466</v>
      </c>
      <c r="J168" s="19" t="s">
        <v>90</v>
      </c>
      <c r="K168" s="19" t="b">
        <v>0</v>
      </c>
      <c r="L168" s="15">
        <v>2016</v>
      </c>
      <c r="M168" s="16">
        <v>0.2299</v>
      </c>
      <c r="N168" s="20">
        <v>41451</v>
      </c>
      <c r="O168" s="20">
        <v>41451</v>
      </c>
    </row>
    <row r="169" spans="1:15" ht="14.25">
      <c r="A169" s="17">
        <v>2013</v>
      </c>
      <c r="B169" s="18" t="s">
        <v>453</v>
      </c>
      <c r="C169" s="18" t="s">
        <v>454</v>
      </c>
      <c r="D169" s="19">
        <v>223000</v>
      </c>
      <c r="E169" s="19">
        <v>0</v>
      </c>
      <c r="F169" s="19"/>
      <c r="G169" s="19">
        <v>20</v>
      </c>
      <c r="H169" s="19">
        <v>1.1</v>
      </c>
      <c r="I169" s="19"/>
      <c r="J169" s="19" t="s">
        <v>40</v>
      </c>
      <c r="K169" s="19" t="b">
        <v>1</v>
      </c>
      <c r="L169" s="15">
        <v>2025</v>
      </c>
      <c r="M169" s="16">
        <v>87500000</v>
      </c>
      <c r="N169" s="20">
        <v>41451</v>
      </c>
      <c r="O169" s="20">
        <v>41451</v>
      </c>
    </row>
    <row r="170" spans="1:15" ht="14.25">
      <c r="A170" s="17">
        <v>2013</v>
      </c>
      <c r="B170" s="18" t="s">
        <v>453</v>
      </c>
      <c r="C170" s="18" t="s">
        <v>454</v>
      </c>
      <c r="D170" s="19">
        <v>223000</v>
      </c>
      <c r="E170" s="19">
        <v>0</v>
      </c>
      <c r="F170" s="19"/>
      <c r="G170" s="19">
        <v>300</v>
      </c>
      <c r="H170" s="19">
        <v>5</v>
      </c>
      <c r="I170" s="19" t="s">
        <v>458</v>
      </c>
      <c r="J170" s="19" t="s">
        <v>80</v>
      </c>
      <c r="K170" s="19" t="b">
        <v>0</v>
      </c>
      <c r="L170" s="15">
        <v>2025</v>
      </c>
      <c r="M170" s="16">
        <v>500000</v>
      </c>
      <c r="N170" s="20">
        <v>41451</v>
      </c>
      <c r="O170" s="20">
        <v>41451</v>
      </c>
    </row>
    <row r="171" spans="1:15" ht="14.25">
      <c r="A171" s="17">
        <v>2013</v>
      </c>
      <c r="B171" s="18" t="s">
        <v>453</v>
      </c>
      <c r="C171" s="18" t="s">
        <v>454</v>
      </c>
      <c r="D171" s="19">
        <v>223000</v>
      </c>
      <c r="E171" s="19">
        <v>0</v>
      </c>
      <c r="F171" s="19"/>
      <c r="G171" s="19">
        <v>350</v>
      </c>
      <c r="H171" s="19">
        <v>6</v>
      </c>
      <c r="I171" s="19"/>
      <c r="J171" s="19" t="s">
        <v>27</v>
      </c>
      <c r="K171" s="19" t="b">
        <v>1</v>
      </c>
      <c r="L171" s="15">
        <v>2020</v>
      </c>
      <c r="M171" s="16">
        <v>9965127</v>
      </c>
      <c r="N171" s="20">
        <v>41451</v>
      </c>
      <c r="O171" s="20">
        <v>41451</v>
      </c>
    </row>
    <row r="172" spans="1:15" ht="14.25">
      <c r="A172" s="17">
        <v>2013</v>
      </c>
      <c r="B172" s="18" t="s">
        <v>453</v>
      </c>
      <c r="C172" s="18" t="s">
        <v>454</v>
      </c>
      <c r="D172" s="19">
        <v>223000</v>
      </c>
      <c r="E172" s="19">
        <v>0</v>
      </c>
      <c r="F172" s="19"/>
      <c r="G172" s="19">
        <v>80</v>
      </c>
      <c r="H172" s="19" t="s">
        <v>51</v>
      </c>
      <c r="I172" s="19"/>
      <c r="J172" s="19" t="s">
        <v>52</v>
      </c>
      <c r="K172" s="19" t="b">
        <v>1</v>
      </c>
      <c r="L172" s="15">
        <v>2021</v>
      </c>
      <c r="M172" s="16">
        <v>15300000</v>
      </c>
      <c r="N172" s="20">
        <v>41451</v>
      </c>
      <c r="O172" s="20">
        <v>41451</v>
      </c>
    </row>
    <row r="173" spans="1:15" ht="14.25">
      <c r="A173" s="17">
        <v>2013</v>
      </c>
      <c r="B173" s="18" t="s">
        <v>453</v>
      </c>
      <c r="C173" s="18" t="s">
        <v>454</v>
      </c>
      <c r="D173" s="19">
        <v>223000</v>
      </c>
      <c r="E173" s="19">
        <v>0</v>
      </c>
      <c r="F173" s="19"/>
      <c r="G173" s="19">
        <v>505</v>
      </c>
      <c r="H173" s="19" t="s">
        <v>100</v>
      </c>
      <c r="I173" s="19" t="s">
        <v>464</v>
      </c>
      <c r="J173" s="19" t="s">
        <v>101</v>
      </c>
      <c r="K173" s="19" t="b">
        <v>0</v>
      </c>
      <c r="L173" s="15">
        <v>2017</v>
      </c>
      <c r="M173" s="16">
        <v>0.0447</v>
      </c>
      <c r="N173" s="20">
        <v>41451</v>
      </c>
      <c r="O173" s="20">
        <v>41451</v>
      </c>
    </row>
    <row r="174" spans="1:15" ht="14.25">
      <c r="A174" s="17">
        <v>2013</v>
      </c>
      <c r="B174" s="18" t="s">
        <v>453</v>
      </c>
      <c r="C174" s="18" t="s">
        <v>454</v>
      </c>
      <c r="D174" s="19">
        <v>223000</v>
      </c>
      <c r="E174" s="19">
        <v>0</v>
      </c>
      <c r="F174" s="19"/>
      <c r="G174" s="19">
        <v>470</v>
      </c>
      <c r="H174" s="19">
        <v>9.3</v>
      </c>
      <c r="I174" s="19" t="s">
        <v>459</v>
      </c>
      <c r="J174" s="19" t="s">
        <v>467</v>
      </c>
      <c r="K174" s="19" t="b">
        <v>1</v>
      </c>
      <c r="L174" s="15">
        <v>2020</v>
      </c>
      <c r="M174" s="16">
        <v>0.0373</v>
      </c>
      <c r="N174" s="20">
        <v>41451</v>
      </c>
      <c r="O174" s="20">
        <v>41451</v>
      </c>
    </row>
    <row r="175" spans="1:15" ht="14.25">
      <c r="A175" s="17">
        <v>2013</v>
      </c>
      <c r="B175" s="18" t="s">
        <v>453</v>
      </c>
      <c r="C175" s="18" t="s">
        <v>454</v>
      </c>
      <c r="D175" s="19">
        <v>223000</v>
      </c>
      <c r="E175" s="19">
        <v>0</v>
      </c>
      <c r="F175" s="19"/>
      <c r="G175" s="19">
        <v>420</v>
      </c>
      <c r="H175" s="19">
        <v>8.1</v>
      </c>
      <c r="I175" s="19" t="s">
        <v>456</v>
      </c>
      <c r="J175" s="19" t="s">
        <v>93</v>
      </c>
      <c r="K175" s="19" t="b">
        <v>0</v>
      </c>
      <c r="L175" s="15">
        <v>2017</v>
      </c>
      <c r="M175" s="16">
        <v>2001733</v>
      </c>
      <c r="N175" s="20">
        <v>41451</v>
      </c>
      <c r="O175" s="20">
        <v>41451</v>
      </c>
    </row>
    <row r="176" spans="1:15" ht="14.25">
      <c r="A176" s="17">
        <v>2013</v>
      </c>
      <c r="B176" s="18" t="s">
        <v>453</v>
      </c>
      <c r="C176" s="18" t="s">
        <v>454</v>
      </c>
      <c r="D176" s="19">
        <v>223000</v>
      </c>
      <c r="E176" s="19">
        <v>0</v>
      </c>
      <c r="F176" s="19"/>
      <c r="G176" s="19">
        <v>610</v>
      </c>
      <c r="H176" s="19" t="s">
        <v>114</v>
      </c>
      <c r="I176" s="19"/>
      <c r="J176" s="19" t="s">
        <v>115</v>
      </c>
      <c r="K176" s="19" t="b">
        <v>1</v>
      </c>
      <c r="L176" s="15">
        <v>2015</v>
      </c>
      <c r="M176" s="16">
        <v>140650</v>
      </c>
      <c r="N176" s="20">
        <v>41451</v>
      </c>
      <c r="O176" s="20">
        <v>41451</v>
      </c>
    </row>
    <row r="177" spans="1:15" ht="14.25">
      <c r="A177" s="17">
        <v>2013</v>
      </c>
      <c r="B177" s="18" t="s">
        <v>453</v>
      </c>
      <c r="C177" s="18" t="s">
        <v>454</v>
      </c>
      <c r="D177" s="19">
        <v>223000</v>
      </c>
      <c r="E177" s="19">
        <v>0</v>
      </c>
      <c r="F177" s="19"/>
      <c r="G177" s="19">
        <v>30</v>
      </c>
      <c r="H177" s="19" t="s">
        <v>41</v>
      </c>
      <c r="I177" s="19"/>
      <c r="J177" s="19" t="s">
        <v>42</v>
      </c>
      <c r="K177" s="19" t="b">
        <v>1</v>
      </c>
      <c r="L177" s="15">
        <v>2018</v>
      </c>
      <c r="M177" s="16">
        <v>30500000</v>
      </c>
      <c r="N177" s="20">
        <v>41451</v>
      </c>
      <c r="O177" s="20">
        <v>41451</v>
      </c>
    </row>
    <row r="178" spans="1:15" ht="14.25">
      <c r="A178" s="17">
        <v>2013</v>
      </c>
      <c r="B178" s="18" t="s">
        <v>453</v>
      </c>
      <c r="C178" s="18" t="s">
        <v>454</v>
      </c>
      <c r="D178" s="19">
        <v>223000</v>
      </c>
      <c r="E178" s="19">
        <v>0</v>
      </c>
      <c r="F178" s="19"/>
      <c r="G178" s="19">
        <v>530</v>
      </c>
      <c r="H178" s="19">
        <v>9.8</v>
      </c>
      <c r="I178" s="19" t="s">
        <v>462</v>
      </c>
      <c r="J178" s="19" t="s">
        <v>105</v>
      </c>
      <c r="K178" s="19" t="b">
        <v>0</v>
      </c>
      <c r="L178" s="15">
        <v>2017</v>
      </c>
      <c r="M178" s="16">
        <v>1189</v>
      </c>
      <c r="N178" s="20">
        <v>41451</v>
      </c>
      <c r="O178" s="20">
        <v>41451</v>
      </c>
    </row>
    <row r="179" spans="1:15" ht="14.25">
      <c r="A179" s="17">
        <v>2013</v>
      </c>
      <c r="B179" s="18" t="s">
        <v>453</v>
      </c>
      <c r="C179" s="18" t="s">
        <v>454</v>
      </c>
      <c r="D179" s="19">
        <v>223000</v>
      </c>
      <c r="E179" s="19">
        <v>0</v>
      </c>
      <c r="F179" s="19"/>
      <c r="G179" s="19">
        <v>30</v>
      </c>
      <c r="H179" s="19" t="s">
        <v>41</v>
      </c>
      <c r="I179" s="19"/>
      <c r="J179" s="19" t="s">
        <v>42</v>
      </c>
      <c r="K179" s="19" t="b">
        <v>1</v>
      </c>
      <c r="L179" s="15">
        <v>2022</v>
      </c>
      <c r="M179" s="16">
        <v>32500000</v>
      </c>
      <c r="N179" s="20">
        <v>41451</v>
      </c>
      <c r="O179" s="20">
        <v>41451</v>
      </c>
    </row>
    <row r="180" spans="1:15" ht="14.25">
      <c r="A180" s="17">
        <v>2013</v>
      </c>
      <c r="B180" s="18" t="s">
        <v>453</v>
      </c>
      <c r="C180" s="18" t="s">
        <v>454</v>
      </c>
      <c r="D180" s="19">
        <v>223000</v>
      </c>
      <c r="E180" s="19">
        <v>0</v>
      </c>
      <c r="F180" s="19"/>
      <c r="G180" s="19">
        <v>580</v>
      </c>
      <c r="H180" s="19">
        <v>11.1</v>
      </c>
      <c r="I180" s="19"/>
      <c r="J180" s="19" t="s">
        <v>111</v>
      </c>
      <c r="K180" s="19" t="b">
        <v>0</v>
      </c>
      <c r="L180" s="15">
        <v>2023</v>
      </c>
      <c r="M180" s="16">
        <v>34800000</v>
      </c>
      <c r="N180" s="20">
        <v>41451</v>
      </c>
      <c r="O180" s="20">
        <v>41451</v>
      </c>
    </row>
    <row r="181" spans="1:15" ht="14.25">
      <c r="A181" s="17">
        <v>2013</v>
      </c>
      <c r="B181" s="18" t="s">
        <v>453</v>
      </c>
      <c r="C181" s="18" t="s">
        <v>454</v>
      </c>
      <c r="D181" s="19">
        <v>223000</v>
      </c>
      <c r="E181" s="19">
        <v>0</v>
      </c>
      <c r="F181" s="19"/>
      <c r="G181" s="19">
        <v>900</v>
      </c>
      <c r="H181" s="19">
        <v>14.3</v>
      </c>
      <c r="I181" s="19"/>
      <c r="J181" s="19" t="s">
        <v>153</v>
      </c>
      <c r="K181" s="19" t="b">
        <v>1</v>
      </c>
      <c r="L181" s="15">
        <v>2015</v>
      </c>
      <c r="M181" s="16">
        <v>8600000</v>
      </c>
      <c r="N181" s="20">
        <v>41451</v>
      </c>
      <c r="O181" s="20">
        <v>41451</v>
      </c>
    </row>
    <row r="182" spans="1:15" ht="14.25">
      <c r="A182" s="17">
        <v>2013</v>
      </c>
      <c r="B182" s="18" t="s">
        <v>453</v>
      </c>
      <c r="C182" s="18" t="s">
        <v>454</v>
      </c>
      <c r="D182" s="19">
        <v>223000</v>
      </c>
      <c r="E182" s="19">
        <v>0</v>
      </c>
      <c r="F182" s="19"/>
      <c r="G182" s="19">
        <v>460</v>
      </c>
      <c r="H182" s="19">
        <v>9.2</v>
      </c>
      <c r="I182" s="19" t="s">
        <v>461</v>
      </c>
      <c r="J182" s="19" t="s">
        <v>96</v>
      </c>
      <c r="K182" s="19" t="b">
        <v>0</v>
      </c>
      <c r="L182" s="15">
        <v>2022</v>
      </c>
      <c r="M182" s="16">
        <v>0.0293</v>
      </c>
      <c r="N182" s="20">
        <v>41451</v>
      </c>
      <c r="O182" s="20">
        <v>41451</v>
      </c>
    </row>
    <row r="183" spans="1:15" ht="14.25">
      <c r="A183" s="17">
        <v>2013</v>
      </c>
      <c r="B183" s="18" t="s">
        <v>453</v>
      </c>
      <c r="C183" s="18" t="s">
        <v>454</v>
      </c>
      <c r="D183" s="19">
        <v>223000</v>
      </c>
      <c r="E183" s="19">
        <v>0</v>
      </c>
      <c r="F183" s="19"/>
      <c r="G183" s="19">
        <v>500</v>
      </c>
      <c r="H183" s="19">
        <v>9.6</v>
      </c>
      <c r="I183" s="19" t="s">
        <v>463</v>
      </c>
      <c r="J183" s="19" t="s">
        <v>99</v>
      </c>
      <c r="K183" s="19" t="b">
        <v>0</v>
      </c>
      <c r="L183" s="15">
        <v>2013</v>
      </c>
      <c r="M183" s="16">
        <v>0.0579</v>
      </c>
      <c r="N183" s="20">
        <v>41451</v>
      </c>
      <c r="O183" s="20">
        <v>41451</v>
      </c>
    </row>
    <row r="184" spans="1:15" ht="14.25">
      <c r="A184" s="17">
        <v>2013</v>
      </c>
      <c r="B184" s="18" t="s">
        <v>453</v>
      </c>
      <c r="C184" s="18" t="s">
        <v>454</v>
      </c>
      <c r="D184" s="19">
        <v>223000</v>
      </c>
      <c r="E184" s="19">
        <v>0</v>
      </c>
      <c r="F184" s="19"/>
      <c r="G184" s="19">
        <v>390</v>
      </c>
      <c r="H184" s="19">
        <v>6.3</v>
      </c>
      <c r="I184" s="19" t="s">
        <v>472</v>
      </c>
      <c r="J184" s="19" t="s">
        <v>91</v>
      </c>
      <c r="K184" s="19" t="b">
        <v>0</v>
      </c>
      <c r="L184" s="15">
        <v>2025</v>
      </c>
      <c r="M184" s="16">
        <v>0.0056</v>
      </c>
      <c r="N184" s="20">
        <v>41451</v>
      </c>
      <c r="O184" s="20">
        <v>41451</v>
      </c>
    </row>
    <row r="185" spans="1:15" ht="14.25">
      <c r="A185" s="17">
        <v>2013</v>
      </c>
      <c r="B185" s="18" t="s">
        <v>453</v>
      </c>
      <c r="C185" s="18" t="s">
        <v>454</v>
      </c>
      <c r="D185" s="19">
        <v>223000</v>
      </c>
      <c r="E185" s="19">
        <v>0</v>
      </c>
      <c r="F185" s="19"/>
      <c r="G185" s="19">
        <v>560</v>
      </c>
      <c r="H185" s="19">
        <v>10.1</v>
      </c>
      <c r="I185" s="19"/>
      <c r="J185" s="19" t="s">
        <v>109</v>
      </c>
      <c r="K185" s="19" t="b">
        <v>0</v>
      </c>
      <c r="L185" s="15">
        <v>2023</v>
      </c>
      <c r="M185" s="16">
        <v>2154468</v>
      </c>
      <c r="N185" s="20">
        <v>41451</v>
      </c>
      <c r="O185" s="20">
        <v>41451</v>
      </c>
    </row>
    <row r="186" spans="1:15" ht="14.25">
      <c r="A186" s="17">
        <v>2013</v>
      </c>
      <c r="B186" s="18" t="s">
        <v>453</v>
      </c>
      <c r="C186" s="18" t="s">
        <v>454</v>
      </c>
      <c r="D186" s="19">
        <v>223000</v>
      </c>
      <c r="E186" s="19">
        <v>0</v>
      </c>
      <c r="F186" s="19"/>
      <c r="G186" s="19">
        <v>70</v>
      </c>
      <c r="H186" s="19" t="s">
        <v>49</v>
      </c>
      <c r="I186" s="19"/>
      <c r="J186" s="19" t="s">
        <v>50</v>
      </c>
      <c r="K186" s="19" t="b">
        <v>1</v>
      </c>
      <c r="L186" s="15">
        <v>2022</v>
      </c>
      <c r="M186" s="16">
        <v>25900000</v>
      </c>
      <c r="N186" s="20">
        <v>41451</v>
      </c>
      <c r="O186" s="20">
        <v>41451</v>
      </c>
    </row>
    <row r="187" spans="1:15" ht="14.25">
      <c r="A187" s="17">
        <v>2013</v>
      </c>
      <c r="B187" s="18" t="s">
        <v>453</v>
      </c>
      <c r="C187" s="18" t="s">
        <v>454</v>
      </c>
      <c r="D187" s="19">
        <v>223000</v>
      </c>
      <c r="E187" s="19">
        <v>0</v>
      </c>
      <c r="F187" s="19"/>
      <c r="G187" s="19">
        <v>550</v>
      </c>
      <c r="H187" s="19">
        <v>10</v>
      </c>
      <c r="I187" s="19"/>
      <c r="J187" s="19" t="s">
        <v>108</v>
      </c>
      <c r="K187" s="19" t="b">
        <v>0</v>
      </c>
      <c r="L187" s="15">
        <v>2020</v>
      </c>
      <c r="M187" s="16">
        <v>2501733</v>
      </c>
      <c r="N187" s="20">
        <v>41451</v>
      </c>
      <c r="O187" s="20">
        <v>41451</v>
      </c>
    </row>
    <row r="188" spans="1:15" ht="14.25">
      <c r="A188" s="17">
        <v>2013</v>
      </c>
      <c r="B188" s="18" t="s">
        <v>453</v>
      </c>
      <c r="C188" s="18" t="s">
        <v>454</v>
      </c>
      <c r="D188" s="19">
        <v>223000</v>
      </c>
      <c r="E188" s="19">
        <v>0</v>
      </c>
      <c r="F188" s="19"/>
      <c r="G188" s="19">
        <v>560</v>
      </c>
      <c r="H188" s="19">
        <v>10.1</v>
      </c>
      <c r="I188" s="19"/>
      <c r="J188" s="19" t="s">
        <v>109</v>
      </c>
      <c r="K188" s="19" t="b">
        <v>0</v>
      </c>
      <c r="L188" s="15">
        <v>2021</v>
      </c>
      <c r="M188" s="16">
        <v>2501731</v>
      </c>
      <c r="N188" s="20">
        <v>41451</v>
      </c>
      <c r="O188" s="20">
        <v>41451</v>
      </c>
    </row>
    <row r="189" spans="1:15" ht="14.25">
      <c r="A189" s="17">
        <v>2013</v>
      </c>
      <c r="B189" s="18" t="s">
        <v>453</v>
      </c>
      <c r="C189" s="18" t="s">
        <v>454</v>
      </c>
      <c r="D189" s="19">
        <v>223000</v>
      </c>
      <c r="E189" s="19">
        <v>0</v>
      </c>
      <c r="F189" s="19"/>
      <c r="G189" s="19">
        <v>520</v>
      </c>
      <c r="H189" s="19" t="s">
        <v>103</v>
      </c>
      <c r="I189" s="19"/>
      <c r="J189" s="19" t="s">
        <v>470</v>
      </c>
      <c r="K189" s="19" t="b">
        <v>1</v>
      </c>
      <c r="L189" s="15">
        <v>2021</v>
      </c>
      <c r="M189" s="16">
        <v>0.0399</v>
      </c>
      <c r="N189" s="20">
        <v>41451</v>
      </c>
      <c r="O189" s="20">
        <v>41451</v>
      </c>
    </row>
    <row r="190" spans="1:15" ht="14.25">
      <c r="A190" s="17">
        <v>2013</v>
      </c>
      <c r="B190" s="18" t="s">
        <v>453</v>
      </c>
      <c r="C190" s="18" t="s">
        <v>454</v>
      </c>
      <c r="D190" s="19">
        <v>223000</v>
      </c>
      <c r="E190" s="19">
        <v>0</v>
      </c>
      <c r="F190" s="19"/>
      <c r="G190" s="19">
        <v>520</v>
      </c>
      <c r="H190" s="19" t="s">
        <v>103</v>
      </c>
      <c r="I190" s="19"/>
      <c r="J190" s="19" t="s">
        <v>470</v>
      </c>
      <c r="K190" s="19" t="b">
        <v>1</v>
      </c>
      <c r="L190" s="15">
        <v>2025</v>
      </c>
      <c r="M190" s="16">
        <v>0.0324</v>
      </c>
      <c r="N190" s="20">
        <v>41451</v>
      </c>
      <c r="O190" s="20">
        <v>41451</v>
      </c>
    </row>
    <row r="191" spans="1:15" ht="14.25">
      <c r="A191" s="17">
        <v>2013</v>
      </c>
      <c r="B191" s="18" t="s">
        <v>453</v>
      </c>
      <c r="C191" s="18" t="s">
        <v>454</v>
      </c>
      <c r="D191" s="19">
        <v>223000</v>
      </c>
      <c r="E191" s="19">
        <v>0</v>
      </c>
      <c r="F191" s="19"/>
      <c r="G191" s="19">
        <v>430</v>
      </c>
      <c r="H191" s="19">
        <v>8.2</v>
      </c>
      <c r="I191" s="19" t="s">
        <v>471</v>
      </c>
      <c r="J191" s="19" t="s">
        <v>94</v>
      </c>
      <c r="K191" s="19" t="b">
        <v>0</v>
      </c>
      <c r="L191" s="15">
        <v>2024</v>
      </c>
      <c r="M191" s="16">
        <v>1654460</v>
      </c>
      <c r="N191" s="20">
        <v>41451</v>
      </c>
      <c r="O191" s="20">
        <v>41451</v>
      </c>
    </row>
    <row r="192" spans="1:15" ht="14.25">
      <c r="A192" s="17">
        <v>2013</v>
      </c>
      <c r="B192" s="18" t="s">
        <v>453</v>
      </c>
      <c r="C192" s="18" t="s">
        <v>454</v>
      </c>
      <c r="D192" s="19">
        <v>223000</v>
      </c>
      <c r="E192" s="19">
        <v>0</v>
      </c>
      <c r="F192" s="19"/>
      <c r="G192" s="19">
        <v>350</v>
      </c>
      <c r="H192" s="19">
        <v>6</v>
      </c>
      <c r="I192" s="19"/>
      <c r="J192" s="19" t="s">
        <v>27</v>
      </c>
      <c r="K192" s="19" t="b">
        <v>1</v>
      </c>
      <c r="L192" s="15">
        <v>2019</v>
      </c>
      <c r="M192" s="16">
        <v>12466860</v>
      </c>
      <c r="N192" s="20">
        <v>41451</v>
      </c>
      <c r="O192" s="20">
        <v>41451</v>
      </c>
    </row>
    <row r="193" spans="1:15" ht="14.25">
      <c r="A193" s="17">
        <v>2013</v>
      </c>
      <c r="B193" s="18" t="s">
        <v>453</v>
      </c>
      <c r="C193" s="18" t="s">
        <v>454</v>
      </c>
      <c r="D193" s="19">
        <v>223000</v>
      </c>
      <c r="E193" s="19">
        <v>0</v>
      </c>
      <c r="F193" s="19"/>
      <c r="G193" s="19">
        <v>430</v>
      </c>
      <c r="H193" s="19">
        <v>8.2</v>
      </c>
      <c r="I193" s="19" t="s">
        <v>471</v>
      </c>
      <c r="J193" s="19" t="s">
        <v>94</v>
      </c>
      <c r="K193" s="19" t="b">
        <v>0</v>
      </c>
      <c r="L193" s="15">
        <v>2013</v>
      </c>
      <c r="M193" s="16">
        <v>205040</v>
      </c>
      <c r="N193" s="20">
        <v>41451</v>
      </c>
      <c r="O193" s="20">
        <v>41451</v>
      </c>
    </row>
    <row r="194" spans="1:15" ht="14.25">
      <c r="A194" s="17">
        <v>2013</v>
      </c>
      <c r="B194" s="18" t="s">
        <v>453</v>
      </c>
      <c r="C194" s="18" t="s">
        <v>454</v>
      </c>
      <c r="D194" s="19">
        <v>223000</v>
      </c>
      <c r="E194" s="19">
        <v>0</v>
      </c>
      <c r="F194" s="19"/>
      <c r="G194" s="19">
        <v>390</v>
      </c>
      <c r="H194" s="19">
        <v>6.3</v>
      </c>
      <c r="I194" s="19" t="s">
        <v>472</v>
      </c>
      <c r="J194" s="19" t="s">
        <v>91</v>
      </c>
      <c r="K194" s="19" t="b">
        <v>0</v>
      </c>
      <c r="L194" s="15">
        <v>2015</v>
      </c>
      <c r="M194" s="16">
        <v>0.2873</v>
      </c>
      <c r="N194" s="20">
        <v>41451</v>
      </c>
      <c r="O194" s="20">
        <v>41451</v>
      </c>
    </row>
    <row r="195" spans="1:15" ht="14.25">
      <c r="A195" s="17">
        <v>2013</v>
      </c>
      <c r="B195" s="18" t="s">
        <v>453</v>
      </c>
      <c r="C195" s="18" t="s">
        <v>454</v>
      </c>
      <c r="D195" s="19">
        <v>223000</v>
      </c>
      <c r="E195" s="19">
        <v>0</v>
      </c>
      <c r="F195" s="19"/>
      <c r="G195" s="19">
        <v>180</v>
      </c>
      <c r="H195" s="19" t="s">
        <v>67</v>
      </c>
      <c r="I195" s="19"/>
      <c r="J195" s="19" t="s">
        <v>68</v>
      </c>
      <c r="K195" s="19" t="b">
        <v>0</v>
      </c>
      <c r="L195" s="15">
        <v>2019</v>
      </c>
      <c r="M195" s="16">
        <v>786714</v>
      </c>
      <c r="N195" s="20">
        <v>41451</v>
      </c>
      <c r="O195" s="20">
        <v>41451</v>
      </c>
    </row>
    <row r="196" spans="1:15" ht="14.25">
      <c r="A196" s="17">
        <v>2013</v>
      </c>
      <c r="B196" s="18" t="s">
        <v>453</v>
      </c>
      <c r="C196" s="18" t="s">
        <v>454</v>
      </c>
      <c r="D196" s="19">
        <v>223000</v>
      </c>
      <c r="E196" s="19">
        <v>0</v>
      </c>
      <c r="F196" s="19"/>
      <c r="G196" s="19">
        <v>200</v>
      </c>
      <c r="H196" s="19">
        <v>3</v>
      </c>
      <c r="I196" s="19" t="s">
        <v>455</v>
      </c>
      <c r="J196" s="19" t="s">
        <v>23</v>
      </c>
      <c r="K196" s="19" t="b">
        <v>0</v>
      </c>
      <c r="L196" s="15">
        <v>2024</v>
      </c>
      <c r="M196" s="16">
        <v>2154460</v>
      </c>
      <c r="N196" s="20">
        <v>41451</v>
      </c>
      <c r="O196" s="20">
        <v>41451</v>
      </c>
    </row>
    <row r="197" spans="1:15" ht="14.25">
      <c r="A197" s="17">
        <v>2013</v>
      </c>
      <c r="B197" s="18" t="s">
        <v>453</v>
      </c>
      <c r="C197" s="18" t="s">
        <v>454</v>
      </c>
      <c r="D197" s="19">
        <v>223000</v>
      </c>
      <c r="E197" s="19">
        <v>0</v>
      </c>
      <c r="F197" s="19"/>
      <c r="G197" s="19">
        <v>420</v>
      </c>
      <c r="H197" s="19">
        <v>8.1</v>
      </c>
      <c r="I197" s="19" t="s">
        <v>456</v>
      </c>
      <c r="J197" s="19" t="s">
        <v>93</v>
      </c>
      <c r="K197" s="19" t="b">
        <v>0</v>
      </c>
      <c r="L197" s="15">
        <v>2015</v>
      </c>
      <c r="M197" s="16">
        <v>2104136</v>
      </c>
      <c r="N197" s="20">
        <v>41451</v>
      </c>
      <c r="O197" s="20">
        <v>41451</v>
      </c>
    </row>
    <row r="198" spans="1:15" ht="14.25">
      <c r="A198" s="17">
        <v>2013</v>
      </c>
      <c r="B198" s="18" t="s">
        <v>453</v>
      </c>
      <c r="C198" s="18" t="s">
        <v>454</v>
      </c>
      <c r="D198" s="19">
        <v>223000</v>
      </c>
      <c r="E198" s="19">
        <v>0</v>
      </c>
      <c r="F198" s="19"/>
      <c r="G198" s="19">
        <v>460</v>
      </c>
      <c r="H198" s="19">
        <v>9.2</v>
      </c>
      <c r="I198" s="19" t="s">
        <v>461</v>
      </c>
      <c r="J198" s="19" t="s">
        <v>96</v>
      </c>
      <c r="K198" s="19" t="b">
        <v>0</v>
      </c>
      <c r="L198" s="15">
        <v>2016</v>
      </c>
      <c r="M198" s="16">
        <v>0.0427</v>
      </c>
      <c r="N198" s="20">
        <v>41451</v>
      </c>
      <c r="O198" s="20">
        <v>41451</v>
      </c>
    </row>
    <row r="199" spans="1:15" ht="14.25">
      <c r="A199" s="17">
        <v>2013</v>
      </c>
      <c r="B199" s="18" t="s">
        <v>453</v>
      </c>
      <c r="C199" s="18" t="s">
        <v>454</v>
      </c>
      <c r="D199" s="19">
        <v>223000</v>
      </c>
      <c r="E199" s="19">
        <v>0</v>
      </c>
      <c r="F199" s="19"/>
      <c r="G199" s="19">
        <v>300</v>
      </c>
      <c r="H199" s="19">
        <v>5</v>
      </c>
      <c r="I199" s="19" t="s">
        <v>458</v>
      </c>
      <c r="J199" s="19" t="s">
        <v>80</v>
      </c>
      <c r="K199" s="19" t="b">
        <v>0</v>
      </c>
      <c r="L199" s="15">
        <v>2014</v>
      </c>
      <c r="M199" s="16">
        <v>4319922</v>
      </c>
      <c r="N199" s="20">
        <v>41451</v>
      </c>
      <c r="O199" s="20">
        <v>41451</v>
      </c>
    </row>
    <row r="200" spans="1:15" ht="14.25">
      <c r="A200" s="17">
        <v>2013</v>
      </c>
      <c r="B200" s="18" t="s">
        <v>453</v>
      </c>
      <c r="C200" s="18" t="s">
        <v>454</v>
      </c>
      <c r="D200" s="19">
        <v>223000</v>
      </c>
      <c r="E200" s="19">
        <v>0</v>
      </c>
      <c r="F200" s="19"/>
      <c r="G200" s="19">
        <v>550</v>
      </c>
      <c r="H200" s="19">
        <v>10</v>
      </c>
      <c r="I200" s="19"/>
      <c r="J200" s="19" t="s">
        <v>108</v>
      </c>
      <c r="K200" s="19" t="b">
        <v>0</v>
      </c>
      <c r="L200" s="15">
        <v>2013</v>
      </c>
      <c r="M200" s="16">
        <v>2374361</v>
      </c>
      <c r="N200" s="20">
        <v>41451</v>
      </c>
      <c r="O200" s="20">
        <v>41451</v>
      </c>
    </row>
    <row r="201" spans="1:15" ht="14.25">
      <c r="A201" s="17">
        <v>2013</v>
      </c>
      <c r="B201" s="18" t="s">
        <v>453</v>
      </c>
      <c r="C201" s="18" t="s">
        <v>454</v>
      </c>
      <c r="D201" s="19">
        <v>223000</v>
      </c>
      <c r="E201" s="19">
        <v>0</v>
      </c>
      <c r="F201" s="19"/>
      <c r="G201" s="19">
        <v>300</v>
      </c>
      <c r="H201" s="19">
        <v>5</v>
      </c>
      <c r="I201" s="19" t="s">
        <v>458</v>
      </c>
      <c r="J201" s="19" t="s">
        <v>80</v>
      </c>
      <c r="K201" s="19" t="b">
        <v>0</v>
      </c>
      <c r="L201" s="15">
        <v>2019</v>
      </c>
      <c r="M201" s="16">
        <v>2501733</v>
      </c>
      <c r="N201" s="20">
        <v>41451</v>
      </c>
      <c r="O201" s="20">
        <v>41451</v>
      </c>
    </row>
    <row r="202" spans="1:15" ht="14.25">
      <c r="A202" s="17">
        <v>2013</v>
      </c>
      <c r="B202" s="18" t="s">
        <v>453</v>
      </c>
      <c r="C202" s="18" t="s">
        <v>454</v>
      </c>
      <c r="D202" s="19">
        <v>223000</v>
      </c>
      <c r="E202" s="19">
        <v>0</v>
      </c>
      <c r="F202" s="19"/>
      <c r="G202" s="19">
        <v>190</v>
      </c>
      <c r="H202" s="19">
        <v>2.2</v>
      </c>
      <c r="I202" s="19"/>
      <c r="J202" s="19" t="s">
        <v>69</v>
      </c>
      <c r="K202" s="19" t="b">
        <v>0</v>
      </c>
      <c r="L202" s="15">
        <v>2021</v>
      </c>
      <c r="M202" s="16">
        <v>660000</v>
      </c>
      <c r="N202" s="20">
        <v>41451</v>
      </c>
      <c r="O202" s="20">
        <v>41451</v>
      </c>
    </row>
    <row r="203" spans="1:15" ht="14.25">
      <c r="A203" s="17">
        <v>2013</v>
      </c>
      <c r="B203" s="18" t="s">
        <v>453</v>
      </c>
      <c r="C203" s="18" t="s">
        <v>454</v>
      </c>
      <c r="D203" s="19">
        <v>223000</v>
      </c>
      <c r="E203" s="19">
        <v>0</v>
      </c>
      <c r="F203" s="19"/>
      <c r="G203" s="19">
        <v>460</v>
      </c>
      <c r="H203" s="19">
        <v>9.2</v>
      </c>
      <c r="I203" s="19" t="s">
        <v>461</v>
      </c>
      <c r="J203" s="19" t="s">
        <v>96</v>
      </c>
      <c r="K203" s="19" t="b">
        <v>0</v>
      </c>
      <c r="L203" s="15">
        <v>2015</v>
      </c>
      <c r="M203" s="16">
        <v>0.0418</v>
      </c>
      <c r="N203" s="20">
        <v>41451</v>
      </c>
      <c r="O203" s="20">
        <v>41451</v>
      </c>
    </row>
    <row r="204" spans="1:15" ht="14.25">
      <c r="A204" s="17">
        <v>2013</v>
      </c>
      <c r="B204" s="18" t="s">
        <v>453</v>
      </c>
      <c r="C204" s="18" t="s">
        <v>454</v>
      </c>
      <c r="D204" s="19">
        <v>223000</v>
      </c>
      <c r="E204" s="19">
        <v>0</v>
      </c>
      <c r="F204" s="19"/>
      <c r="G204" s="19">
        <v>640</v>
      </c>
      <c r="H204" s="19">
        <v>11.5</v>
      </c>
      <c r="I204" s="19"/>
      <c r="J204" s="19" t="s">
        <v>119</v>
      </c>
      <c r="K204" s="19" t="b">
        <v>1</v>
      </c>
      <c r="L204" s="15">
        <v>2018</v>
      </c>
      <c r="M204" s="16">
        <v>1000000</v>
      </c>
      <c r="N204" s="20">
        <v>41451</v>
      </c>
      <c r="O204" s="20">
        <v>41451</v>
      </c>
    </row>
    <row r="205" spans="1:15" ht="14.25">
      <c r="A205" s="17">
        <v>2013</v>
      </c>
      <c r="B205" s="18" t="s">
        <v>453</v>
      </c>
      <c r="C205" s="18" t="s">
        <v>454</v>
      </c>
      <c r="D205" s="19">
        <v>223000</v>
      </c>
      <c r="E205" s="19">
        <v>0</v>
      </c>
      <c r="F205" s="19"/>
      <c r="G205" s="19">
        <v>380</v>
      </c>
      <c r="H205" s="19">
        <v>6.2</v>
      </c>
      <c r="I205" s="19" t="s">
        <v>466</v>
      </c>
      <c r="J205" s="19" t="s">
        <v>90</v>
      </c>
      <c r="K205" s="19" t="b">
        <v>0</v>
      </c>
      <c r="L205" s="15">
        <v>2024</v>
      </c>
      <c r="M205" s="16">
        <v>0.0114</v>
      </c>
      <c r="N205" s="20">
        <v>41451</v>
      </c>
      <c r="O205" s="20">
        <v>41451</v>
      </c>
    </row>
    <row r="206" spans="1:15" ht="14.25">
      <c r="A206" s="17">
        <v>2013</v>
      </c>
      <c r="B206" s="18" t="s">
        <v>453</v>
      </c>
      <c r="C206" s="18" t="s">
        <v>454</v>
      </c>
      <c r="D206" s="19">
        <v>223000</v>
      </c>
      <c r="E206" s="19">
        <v>0</v>
      </c>
      <c r="F206" s="19"/>
      <c r="G206" s="19">
        <v>170</v>
      </c>
      <c r="H206" s="19" t="s">
        <v>65</v>
      </c>
      <c r="I206" s="19"/>
      <c r="J206" s="19" t="s">
        <v>66</v>
      </c>
      <c r="K206" s="19" t="b">
        <v>1</v>
      </c>
      <c r="L206" s="15">
        <v>2020</v>
      </c>
      <c r="M206" s="16">
        <v>645858</v>
      </c>
      <c r="N206" s="20">
        <v>41451</v>
      </c>
      <c r="O206" s="20">
        <v>41451</v>
      </c>
    </row>
    <row r="207" spans="1:15" ht="14.25">
      <c r="A207" s="17">
        <v>2013</v>
      </c>
      <c r="B207" s="18" t="s">
        <v>453</v>
      </c>
      <c r="C207" s="18" t="s">
        <v>454</v>
      </c>
      <c r="D207" s="19">
        <v>223000</v>
      </c>
      <c r="E207" s="19">
        <v>0</v>
      </c>
      <c r="F207" s="19"/>
      <c r="G207" s="19">
        <v>590</v>
      </c>
      <c r="H207" s="19">
        <v>11.2</v>
      </c>
      <c r="I207" s="19"/>
      <c r="J207" s="19" t="s">
        <v>112</v>
      </c>
      <c r="K207" s="19" t="b">
        <v>1</v>
      </c>
      <c r="L207" s="15">
        <v>2023</v>
      </c>
      <c r="M207" s="16">
        <v>12700000</v>
      </c>
      <c r="N207" s="20">
        <v>41451</v>
      </c>
      <c r="O207" s="20">
        <v>41451</v>
      </c>
    </row>
    <row r="208" spans="1:15" ht="14.25">
      <c r="A208" s="17">
        <v>2013</v>
      </c>
      <c r="B208" s="18" t="s">
        <v>453</v>
      </c>
      <c r="C208" s="18" t="s">
        <v>454</v>
      </c>
      <c r="D208" s="19">
        <v>223000</v>
      </c>
      <c r="E208" s="19">
        <v>0</v>
      </c>
      <c r="F208" s="19"/>
      <c r="G208" s="19">
        <v>300</v>
      </c>
      <c r="H208" s="19">
        <v>5</v>
      </c>
      <c r="I208" s="19" t="s">
        <v>458</v>
      </c>
      <c r="J208" s="19" t="s">
        <v>80</v>
      </c>
      <c r="K208" s="19" t="b">
        <v>0</v>
      </c>
      <c r="L208" s="15">
        <v>2023</v>
      </c>
      <c r="M208" s="16">
        <v>2154468</v>
      </c>
      <c r="N208" s="20">
        <v>41451</v>
      </c>
      <c r="O208" s="20">
        <v>41451</v>
      </c>
    </row>
    <row r="209" spans="1:15" ht="14.25">
      <c r="A209" s="17">
        <v>2013</v>
      </c>
      <c r="B209" s="18" t="s">
        <v>453</v>
      </c>
      <c r="C209" s="18" t="s">
        <v>454</v>
      </c>
      <c r="D209" s="19">
        <v>223000</v>
      </c>
      <c r="E209" s="19">
        <v>0</v>
      </c>
      <c r="F209" s="19"/>
      <c r="G209" s="19">
        <v>130</v>
      </c>
      <c r="H209" s="19">
        <v>2.1</v>
      </c>
      <c r="I209" s="19"/>
      <c r="J209" s="19" t="s">
        <v>58</v>
      </c>
      <c r="K209" s="19" t="b">
        <v>1</v>
      </c>
      <c r="L209" s="15">
        <v>2015</v>
      </c>
      <c r="M209" s="16">
        <v>76451922</v>
      </c>
      <c r="N209" s="20">
        <v>41451</v>
      </c>
      <c r="O209" s="20">
        <v>41451</v>
      </c>
    </row>
    <row r="210" spans="1:15" ht="14.25">
      <c r="A210" s="17">
        <v>2013</v>
      </c>
      <c r="B210" s="18" t="s">
        <v>453</v>
      </c>
      <c r="C210" s="18" t="s">
        <v>454</v>
      </c>
      <c r="D210" s="19">
        <v>223000</v>
      </c>
      <c r="E210" s="19">
        <v>0</v>
      </c>
      <c r="F210" s="19"/>
      <c r="G210" s="19">
        <v>540</v>
      </c>
      <c r="H210" s="19" t="s">
        <v>106</v>
      </c>
      <c r="I210" s="19" t="s">
        <v>460</v>
      </c>
      <c r="J210" s="19" t="s">
        <v>107</v>
      </c>
      <c r="K210" s="19" t="b">
        <v>0</v>
      </c>
      <c r="L210" s="15">
        <v>2022</v>
      </c>
      <c r="M210" s="16">
        <v>82</v>
      </c>
      <c r="N210" s="20">
        <v>41451</v>
      </c>
      <c r="O210" s="20">
        <v>41451</v>
      </c>
    </row>
    <row r="211" spans="1:15" ht="14.25">
      <c r="A211" s="17">
        <v>2013</v>
      </c>
      <c r="B211" s="18" t="s">
        <v>453</v>
      </c>
      <c r="C211" s="18" t="s">
        <v>454</v>
      </c>
      <c r="D211" s="19">
        <v>223000</v>
      </c>
      <c r="E211" s="19">
        <v>0</v>
      </c>
      <c r="F211" s="19"/>
      <c r="G211" s="19">
        <v>920</v>
      </c>
      <c r="H211" s="19" t="s">
        <v>156</v>
      </c>
      <c r="I211" s="19"/>
      <c r="J211" s="19" t="s">
        <v>157</v>
      </c>
      <c r="K211" s="19" t="b">
        <v>1</v>
      </c>
      <c r="L211" s="15">
        <v>2014</v>
      </c>
      <c r="M211" s="16">
        <v>8000000</v>
      </c>
      <c r="N211" s="20">
        <v>41451</v>
      </c>
      <c r="O211" s="20">
        <v>41451</v>
      </c>
    </row>
    <row r="212" spans="1:15" ht="14.25">
      <c r="A212" s="17">
        <v>2013</v>
      </c>
      <c r="B212" s="18" t="s">
        <v>453</v>
      </c>
      <c r="C212" s="18" t="s">
        <v>454</v>
      </c>
      <c r="D212" s="19">
        <v>223000</v>
      </c>
      <c r="E212" s="19">
        <v>0</v>
      </c>
      <c r="F212" s="19"/>
      <c r="G212" s="19">
        <v>120</v>
      </c>
      <c r="H212" s="19">
        <v>2</v>
      </c>
      <c r="I212" s="19" t="s">
        <v>469</v>
      </c>
      <c r="J212" s="19" t="s">
        <v>21</v>
      </c>
      <c r="K212" s="19" t="b">
        <v>0</v>
      </c>
      <c r="L212" s="15">
        <v>2013</v>
      </c>
      <c r="M212" s="16">
        <v>105001400</v>
      </c>
      <c r="N212" s="20">
        <v>41451</v>
      </c>
      <c r="O212" s="20">
        <v>41451</v>
      </c>
    </row>
    <row r="213" spans="1:15" ht="14.25">
      <c r="A213" s="17">
        <v>2013</v>
      </c>
      <c r="B213" s="18" t="s">
        <v>453</v>
      </c>
      <c r="C213" s="18" t="s">
        <v>454</v>
      </c>
      <c r="D213" s="19">
        <v>223000</v>
      </c>
      <c r="E213" s="19">
        <v>0</v>
      </c>
      <c r="F213" s="19"/>
      <c r="G213" s="19">
        <v>40</v>
      </c>
      <c r="H213" s="19" t="s">
        <v>43</v>
      </c>
      <c r="I213" s="19"/>
      <c r="J213" s="19" t="s">
        <v>44</v>
      </c>
      <c r="K213" s="19" t="b">
        <v>1</v>
      </c>
      <c r="L213" s="15">
        <v>2017</v>
      </c>
      <c r="M213" s="16">
        <v>2600000</v>
      </c>
      <c r="N213" s="20">
        <v>41451</v>
      </c>
      <c r="O213" s="20">
        <v>41451</v>
      </c>
    </row>
    <row r="214" spans="1:15" ht="14.25">
      <c r="A214" s="17">
        <v>2013</v>
      </c>
      <c r="B214" s="18" t="s">
        <v>453</v>
      </c>
      <c r="C214" s="18" t="s">
        <v>454</v>
      </c>
      <c r="D214" s="19">
        <v>223000</v>
      </c>
      <c r="E214" s="19">
        <v>0</v>
      </c>
      <c r="F214" s="19"/>
      <c r="G214" s="19">
        <v>110</v>
      </c>
      <c r="H214" s="19" t="s">
        <v>56</v>
      </c>
      <c r="I214" s="19"/>
      <c r="J214" s="19" t="s">
        <v>57</v>
      </c>
      <c r="K214" s="19" t="b">
        <v>1</v>
      </c>
      <c r="L214" s="15">
        <v>2013</v>
      </c>
      <c r="M214" s="16">
        <v>1243391</v>
      </c>
      <c r="N214" s="20">
        <v>41451</v>
      </c>
      <c r="O214" s="20">
        <v>41451</v>
      </c>
    </row>
    <row r="215" spans="1:15" ht="14.25">
      <c r="A215" s="17">
        <v>2013</v>
      </c>
      <c r="B215" s="18" t="s">
        <v>453</v>
      </c>
      <c r="C215" s="18" t="s">
        <v>454</v>
      </c>
      <c r="D215" s="19">
        <v>223000</v>
      </c>
      <c r="E215" s="19">
        <v>0</v>
      </c>
      <c r="F215" s="19"/>
      <c r="G215" s="19">
        <v>500</v>
      </c>
      <c r="H215" s="19">
        <v>9.6</v>
      </c>
      <c r="I215" s="19" t="s">
        <v>463</v>
      </c>
      <c r="J215" s="19" t="s">
        <v>99</v>
      </c>
      <c r="K215" s="19" t="b">
        <v>0</v>
      </c>
      <c r="L215" s="15">
        <v>2018</v>
      </c>
      <c r="M215" s="16">
        <v>0.0414</v>
      </c>
      <c r="N215" s="20">
        <v>41451</v>
      </c>
      <c r="O215" s="20">
        <v>41451</v>
      </c>
    </row>
    <row r="216" spans="1:15" ht="14.25">
      <c r="A216" s="17">
        <v>2013</v>
      </c>
      <c r="B216" s="18" t="s">
        <v>453</v>
      </c>
      <c r="C216" s="18" t="s">
        <v>454</v>
      </c>
      <c r="D216" s="19">
        <v>223000</v>
      </c>
      <c r="E216" s="19">
        <v>0</v>
      </c>
      <c r="F216" s="19"/>
      <c r="G216" s="19">
        <v>100</v>
      </c>
      <c r="H216" s="19" t="s">
        <v>54</v>
      </c>
      <c r="I216" s="19"/>
      <c r="J216" s="19" t="s">
        <v>55</v>
      </c>
      <c r="K216" s="19" t="b">
        <v>1</v>
      </c>
      <c r="L216" s="15">
        <v>2022</v>
      </c>
      <c r="M216" s="16">
        <v>1160000</v>
      </c>
      <c r="N216" s="20">
        <v>41451</v>
      </c>
      <c r="O216" s="20">
        <v>41451</v>
      </c>
    </row>
    <row r="217" spans="1:15" ht="14.25">
      <c r="A217" s="17">
        <v>2013</v>
      </c>
      <c r="B217" s="18" t="s">
        <v>453</v>
      </c>
      <c r="C217" s="18" t="s">
        <v>454</v>
      </c>
      <c r="D217" s="19">
        <v>223000</v>
      </c>
      <c r="E217" s="19">
        <v>0</v>
      </c>
      <c r="F217" s="19"/>
      <c r="G217" s="19">
        <v>20</v>
      </c>
      <c r="H217" s="19">
        <v>1.1</v>
      </c>
      <c r="I217" s="19"/>
      <c r="J217" s="19" t="s">
        <v>40</v>
      </c>
      <c r="K217" s="19" t="b">
        <v>1</v>
      </c>
      <c r="L217" s="15">
        <v>2013</v>
      </c>
      <c r="M217" s="16">
        <v>83282933</v>
      </c>
      <c r="N217" s="20">
        <v>41451</v>
      </c>
      <c r="O217" s="20">
        <v>41451</v>
      </c>
    </row>
    <row r="218" spans="1:15" ht="14.25">
      <c r="A218" s="17">
        <v>2013</v>
      </c>
      <c r="B218" s="18" t="s">
        <v>453</v>
      </c>
      <c r="C218" s="18" t="s">
        <v>454</v>
      </c>
      <c r="D218" s="19">
        <v>223000</v>
      </c>
      <c r="E218" s="19">
        <v>0</v>
      </c>
      <c r="F218" s="19"/>
      <c r="G218" s="19">
        <v>130</v>
      </c>
      <c r="H218" s="19">
        <v>2.1</v>
      </c>
      <c r="I218" s="19"/>
      <c r="J218" s="19" t="s">
        <v>58</v>
      </c>
      <c r="K218" s="19" t="b">
        <v>1</v>
      </c>
      <c r="L218" s="15">
        <v>2023</v>
      </c>
      <c r="M218" s="16">
        <v>83965063</v>
      </c>
      <c r="N218" s="20">
        <v>41451</v>
      </c>
      <c r="O218" s="20">
        <v>41451</v>
      </c>
    </row>
    <row r="219" spans="1:15" ht="14.25">
      <c r="A219" s="17">
        <v>2013</v>
      </c>
      <c r="B219" s="18" t="s">
        <v>453</v>
      </c>
      <c r="C219" s="18" t="s">
        <v>454</v>
      </c>
      <c r="D219" s="19">
        <v>223000</v>
      </c>
      <c r="E219" s="19">
        <v>0</v>
      </c>
      <c r="F219" s="19"/>
      <c r="G219" s="19">
        <v>480</v>
      </c>
      <c r="H219" s="19">
        <v>9.4</v>
      </c>
      <c r="I219" s="19" t="s">
        <v>461</v>
      </c>
      <c r="J219" s="19" t="s">
        <v>97</v>
      </c>
      <c r="K219" s="19" t="b">
        <v>0</v>
      </c>
      <c r="L219" s="15">
        <v>2025</v>
      </c>
      <c r="M219" s="16">
        <v>0.0062</v>
      </c>
      <c r="N219" s="20">
        <v>41451</v>
      </c>
      <c r="O219" s="20">
        <v>41451</v>
      </c>
    </row>
    <row r="220" spans="1:15" ht="14.25">
      <c r="A220" s="17">
        <v>2013</v>
      </c>
      <c r="B220" s="18" t="s">
        <v>453</v>
      </c>
      <c r="C220" s="18" t="s">
        <v>454</v>
      </c>
      <c r="D220" s="19">
        <v>223000</v>
      </c>
      <c r="E220" s="19">
        <v>0</v>
      </c>
      <c r="F220" s="19"/>
      <c r="G220" s="19">
        <v>530</v>
      </c>
      <c r="H220" s="19">
        <v>9.8</v>
      </c>
      <c r="I220" s="19" t="s">
        <v>462</v>
      </c>
      <c r="J220" s="19" t="s">
        <v>105</v>
      </c>
      <c r="K220" s="19" t="b">
        <v>0</v>
      </c>
      <c r="L220" s="15">
        <v>2025</v>
      </c>
      <c r="M220" s="16">
        <v>262</v>
      </c>
      <c r="N220" s="20">
        <v>41451</v>
      </c>
      <c r="O220" s="20">
        <v>41451</v>
      </c>
    </row>
    <row r="221" spans="1:15" ht="14.25">
      <c r="A221" s="17">
        <v>2013</v>
      </c>
      <c r="B221" s="18" t="s">
        <v>453</v>
      </c>
      <c r="C221" s="18" t="s">
        <v>454</v>
      </c>
      <c r="D221" s="19">
        <v>223000</v>
      </c>
      <c r="E221" s="19">
        <v>0</v>
      </c>
      <c r="F221" s="19"/>
      <c r="G221" s="19">
        <v>240</v>
      </c>
      <c r="H221" s="19">
        <v>4.2</v>
      </c>
      <c r="I221" s="19"/>
      <c r="J221" s="19" t="s">
        <v>73</v>
      </c>
      <c r="K221" s="19" t="b">
        <v>0</v>
      </c>
      <c r="L221" s="15">
        <v>2013</v>
      </c>
      <c r="M221" s="16">
        <v>1945552</v>
      </c>
      <c r="N221" s="20">
        <v>41451</v>
      </c>
      <c r="O221" s="20">
        <v>41451</v>
      </c>
    </row>
    <row r="222" spans="1:15" ht="14.25">
      <c r="A222" s="17">
        <v>2013</v>
      </c>
      <c r="B222" s="18" t="s">
        <v>453</v>
      </c>
      <c r="C222" s="18" t="s">
        <v>454</v>
      </c>
      <c r="D222" s="19">
        <v>223000</v>
      </c>
      <c r="E222" s="19">
        <v>0</v>
      </c>
      <c r="F222" s="19"/>
      <c r="G222" s="19">
        <v>70</v>
      </c>
      <c r="H222" s="19" t="s">
        <v>49</v>
      </c>
      <c r="I222" s="19"/>
      <c r="J222" s="19" t="s">
        <v>50</v>
      </c>
      <c r="K222" s="19" t="b">
        <v>1</v>
      </c>
      <c r="L222" s="15">
        <v>2023</v>
      </c>
      <c r="M222" s="16">
        <v>26000000</v>
      </c>
      <c r="N222" s="20">
        <v>41451</v>
      </c>
      <c r="O222" s="20">
        <v>41451</v>
      </c>
    </row>
    <row r="223" spans="1:15" ht="14.25">
      <c r="A223" s="17">
        <v>2013</v>
      </c>
      <c r="B223" s="18" t="s">
        <v>453</v>
      </c>
      <c r="C223" s="18" t="s">
        <v>454</v>
      </c>
      <c r="D223" s="19">
        <v>223000</v>
      </c>
      <c r="E223" s="19">
        <v>0</v>
      </c>
      <c r="F223" s="19"/>
      <c r="G223" s="19">
        <v>80</v>
      </c>
      <c r="H223" s="19" t="s">
        <v>51</v>
      </c>
      <c r="I223" s="19"/>
      <c r="J223" s="19" t="s">
        <v>52</v>
      </c>
      <c r="K223" s="19" t="b">
        <v>1</v>
      </c>
      <c r="L223" s="15">
        <v>2018</v>
      </c>
      <c r="M223" s="16">
        <v>14700000</v>
      </c>
      <c r="N223" s="20">
        <v>41451</v>
      </c>
      <c r="O223" s="20">
        <v>41451</v>
      </c>
    </row>
    <row r="224" spans="1:15" ht="14.25">
      <c r="A224" s="17">
        <v>2013</v>
      </c>
      <c r="B224" s="18" t="s">
        <v>453</v>
      </c>
      <c r="C224" s="18" t="s">
        <v>454</v>
      </c>
      <c r="D224" s="19">
        <v>223000</v>
      </c>
      <c r="E224" s="19">
        <v>0</v>
      </c>
      <c r="F224" s="19"/>
      <c r="G224" s="19">
        <v>130</v>
      </c>
      <c r="H224" s="19">
        <v>2.1</v>
      </c>
      <c r="I224" s="19"/>
      <c r="J224" s="19" t="s">
        <v>58</v>
      </c>
      <c r="K224" s="19" t="b">
        <v>1</v>
      </c>
      <c r="L224" s="15">
        <v>2025</v>
      </c>
      <c r="M224" s="16">
        <v>87500000</v>
      </c>
      <c r="N224" s="20">
        <v>41451</v>
      </c>
      <c r="O224" s="20">
        <v>41451</v>
      </c>
    </row>
    <row r="225" spans="1:15" ht="14.25">
      <c r="A225" s="17">
        <v>2013</v>
      </c>
      <c r="B225" s="18" t="s">
        <v>453</v>
      </c>
      <c r="C225" s="18" t="s">
        <v>454</v>
      </c>
      <c r="D225" s="19">
        <v>223000</v>
      </c>
      <c r="E225" s="19">
        <v>0</v>
      </c>
      <c r="F225" s="19"/>
      <c r="G225" s="19">
        <v>500</v>
      </c>
      <c r="H225" s="19">
        <v>9.6</v>
      </c>
      <c r="I225" s="19" t="s">
        <v>463</v>
      </c>
      <c r="J225" s="19" t="s">
        <v>99</v>
      </c>
      <c r="K225" s="19" t="b">
        <v>0</v>
      </c>
      <c r="L225" s="15">
        <v>2025</v>
      </c>
      <c r="M225" s="16">
        <v>0.0062</v>
      </c>
      <c r="N225" s="20">
        <v>41451</v>
      </c>
      <c r="O225" s="20">
        <v>41451</v>
      </c>
    </row>
    <row r="226" spans="1:15" ht="14.25">
      <c r="A226" s="17">
        <v>2013</v>
      </c>
      <c r="B226" s="18" t="s">
        <v>453</v>
      </c>
      <c r="C226" s="18" t="s">
        <v>454</v>
      </c>
      <c r="D226" s="19">
        <v>223000</v>
      </c>
      <c r="E226" s="19">
        <v>0</v>
      </c>
      <c r="F226" s="19"/>
      <c r="G226" s="19">
        <v>560</v>
      </c>
      <c r="H226" s="19">
        <v>10.1</v>
      </c>
      <c r="I226" s="19"/>
      <c r="J226" s="19" t="s">
        <v>109</v>
      </c>
      <c r="K226" s="19" t="b">
        <v>0</v>
      </c>
      <c r="L226" s="15">
        <v>2020</v>
      </c>
      <c r="M226" s="16">
        <v>2501733</v>
      </c>
      <c r="N226" s="20">
        <v>41451</v>
      </c>
      <c r="O226" s="20">
        <v>41451</v>
      </c>
    </row>
    <row r="227" spans="1:15" ht="14.25">
      <c r="A227" s="17">
        <v>2013</v>
      </c>
      <c r="B227" s="18" t="s">
        <v>453</v>
      </c>
      <c r="C227" s="18" t="s">
        <v>454</v>
      </c>
      <c r="D227" s="19">
        <v>223000</v>
      </c>
      <c r="E227" s="19">
        <v>0</v>
      </c>
      <c r="F227" s="19"/>
      <c r="G227" s="19">
        <v>510</v>
      </c>
      <c r="H227" s="19">
        <v>9.7</v>
      </c>
      <c r="I227" s="19"/>
      <c r="J227" s="19" t="s">
        <v>473</v>
      </c>
      <c r="K227" s="19" t="b">
        <v>1</v>
      </c>
      <c r="L227" s="15">
        <v>2014</v>
      </c>
      <c r="M227" s="16">
        <v>0.1005</v>
      </c>
      <c r="N227" s="20">
        <v>41451</v>
      </c>
      <c r="O227" s="20">
        <v>41451</v>
      </c>
    </row>
    <row r="228" spans="1:15" ht="14.25">
      <c r="A228" s="17">
        <v>2013</v>
      </c>
      <c r="B228" s="18" t="s">
        <v>453</v>
      </c>
      <c r="C228" s="18" t="s">
        <v>454</v>
      </c>
      <c r="D228" s="19">
        <v>223000</v>
      </c>
      <c r="E228" s="19">
        <v>0</v>
      </c>
      <c r="F228" s="19"/>
      <c r="G228" s="19">
        <v>350</v>
      </c>
      <c r="H228" s="19">
        <v>6</v>
      </c>
      <c r="I228" s="19"/>
      <c r="J228" s="19" t="s">
        <v>27</v>
      </c>
      <c r="K228" s="19" t="b">
        <v>1</v>
      </c>
      <c r="L228" s="15">
        <v>2016</v>
      </c>
      <c r="M228" s="16">
        <v>19972059</v>
      </c>
      <c r="N228" s="20">
        <v>41451</v>
      </c>
      <c r="O228" s="20">
        <v>41451</v>
      </c>
    </row>
    <row r="229" spans="1:15" ht="14.25">
      <c r="A229" s="17">
        <v>2013</v>
      </c>
      <c r="B229" s="18" t="s">
        <v>453</v>
      </c>
      <c r="C229" s="18" t="s">
        <v>454</v>
      </c>
      <c r="D229" s="19">
        <v>223000</v>
      </c>
      <c r="E229" s="19">
        <v>0</v>
      </c>
      <c r="F229" s="19"/>
      <c r="G229" s="19">
        <v>520</v>
      </c>
      <c r="H229" s="19" t="s">
        <v>103</v>
      </c>
      <c r="I229" s="19"/>
      <c r="J229" s="19" t="s">
        <v>470</v>
      </c>
      <c r="K229" s="19" t="b">
        <v>1</v>
      </c>
      <c r="L229" s="15">
        <v>2023</v>
      </c>
      <c r="M229" s="16">
        <v>0.0358</v>
      </c>
      <c r="N229" s="20">
        <v>41451</v>
      </c>
      <c r="O229" s="20">
        <v>41451</v>
      </c>
    </row>
    <row r="230" spans="1:15" ht="14.25">
      <c r="A230" s="17">
        <v>2013</v>
      </c>
      <c r="B230" s="18" t="s">
        <v>453</v>
      </c>
      <c r="C230" s="18" t="s">
        <v>454</v>
      </c>
      <c r="D230" s="19">
        <v>223000</v>
      </c>
      <c r="E230" s="19">
        <v>0</v>
      </c>
      <c r="F230" s="19"/>
      <c r="G230" s="19">
        <v>550</v>
      </c>
      <c r="H230" s="19">
        <v>10</v>
      </c>
      <c r="I230" s="19"/>
      <c r="J230" s="19" t="s">
        <v>108</v>
      </c>
      <c r="K230" s="19" t="b">
        <v>0</v>
      </c>
      <c r="L230" s="15">
        <v>2017</v>
      </c>
      <c r="M230" s="16">
        <v>2501733</v>
      </c>
      <c r="N230" s="20">
        <v>41451</v>
      </c>
      <c r="O230" s="20">
        <v>41451</v>
      </c>
    </row>
    <row r="231" spans="1:15" ht="14.25">
      <c r="A231" s="17">
        <v>2013</v>
      </c>
      <c r="B231" s="18" t="s">
        <v>453</v>
      </c>
      <c r="C231" s="18" t="s">
        <v>454</v>
      </c>
      <c r="D231" s="19">
        <v>223000</v>
      </c>
      <c r="E231" s="19">
        <v>0</v>
      </c>
      <c r="F231" s="19"/>
      <c r="G231" s="19">
        <v>390</v>
      </c>
      <c r="H231" s="19">
        <v>6.3</v>
      </c>
      <c r="I231" s="19" t="s">
        <v>472</v>
      </c>
      <c r="J231" s="19" t="s">
        <v>91</v>
      </c>
      <c r="K231" s="19" t="b">
        <v>0</v>
      </c>
      <c r="L231" s="15">
        <v>2019</v>
      </c>
      <c r="M231" s="16">
        <v>0.1496</v>
      </c>
      <c r="N231" s="20">
        <v>41451</v>
      </c>
      <c r="O231" s="20">
        <v>41451</v>
      </c>
    </row>
    <row r="232" spans="1:15" ht="14.25">
      <c r="A232" s="17">
        <v>2013</v>
      </c>
      <c r="B232" s="18" t="s">
        <v>453</v>
      </c>
      <c r="C232" s="18" t="s">
        <v>454</v>
      </c>
      <c r="D232" s="19">
        <v>223000</v>
      </c>
      <c r="E232" s="19">
        <v>0</v>
      </c>
      <c r="F232" s="19"/>
      <c r="G232" s="19">
        <v>750</v>
      </c>
      <c r="H232" s="19" t="s">
        <v>135</v>
      </c>
      <c r="I232" s="19"/>
      <c r="J232" s="19" t="s">
        <v>136</v>
      </c>
      <c r="K232" s="19" t="b">
        <v>0</v>
      </c>
      <c r="L232" s="15">
        <v>2013</v>
      </c>
      <c r="M232" s="16">
        <v>456081</v>
      </c>
      <c r="N232" s="20">
        <v>41451</v>
      </c>
      <c r="O232" s="20">
        <v>41451</v>
      </c>
    </row>
    <row r="233" spans="1:15" ht="14.25">
      <c r="A233" s="17">
        <v>2013</v>
      </c>
      <c r="B233" s="18" t="s">
        <v>453</v>
      </c>
      <c r="C233" s="18" t="s">
        <v>454</v>
      </c>
      <c r="D233" s="19">
        <v>223000</v>
      </c>
      <c r="E233" s="19">
        <v>0</v>
      </c>
      <c r="F233" s="19"/>
      <c r="G233" s="19">
        <v>80</v>
      </c>
      <c r="H233" s="19" t="s">
        <v>51</v>
      </c>
      <c r="I233" s="19"/>
      <c r="J233" s="19" t="s">
        <v>52</v>
      </c>
      <c r="K233" s="19" t="b">
        <v>1</v>
      </c>
      <c r="L233" s="15">
        <v>2025</v>
      </c>
      <c r="M233" s="16">
        <v>16100000</v>
      </c>
      <c r="N233" s="20">
        <v>41451</v>
      </c>
      <c r="O233" s="20">
        <v>41451</v>
      </c>
    </row>
    <row r="234" spans="1:15" ht="14.25">
      <c r="A234" s="17">
        <v>2013</v>
      </c>
      <c r="B234" s="18" t="s">
        <v>453</v>
      </c>
      <c r="C234" s="18" t="s">
        <v>454</v>
      </c>
      <c r="D234" s="19">
        <v>223000</v>
      </c>
      <c r="E234" s="19">
        <v>0</v>
      </c>
      <c r="F234" s="19"/>
      <c r="G234" s="19">
        <v>500</v>
      </c>
      <c r="H234" s="19">
        <v>9.6</v>
      </c>
      <c r="I234" s="19" t="s">
        <v>463</v>
      </c>
      <c r="J234" s="19" t="s">
        <v>99</v>
      </c>
      <c r="K234" s="19" t="b">
        <v>0</v>
      </c>
      <c r="L234" s="15">
        <v>2017</v>
      </c>
      <c r="M234" s="16">
        <v>0.0436</v>
      </c>
      <c r="N234" s="20">
        <v>41451</v>
      </c>
      <c r="O234" s="20">
        <v>41451</v>
      </c>
    </row>
    <row r="235" spans="1:15" ht="14.25">
      <c r="A235" s="17">
        <v>2013</v>
      </c>
      <c r="B235" s="18" t="s">
        <v>453</v>
      </c>
      <c r="C235" s="18" t="s">
        <v>454</v>
      </c>
      <c r="D235" s="19">
        <v>223000</v>
      </c>
      <c r="E235" s="19">
        <v>0</v>
      </c>
      <c r="F235" s="19"/>
      <c r="G235" s="19">
        <v>540</v>
      </c>
      <c r="H235" s="19" t="s">
        <v>106</v>
      </c>
      <c r="I235" s="19" t="s">
        <v>460</v>
      </c>
      <c r="J235" s="19" t="s">
        <v>107</v>
      </c>
      <c r="K235" s="19" t="b">
        <v>0</v>
      </c>
      <c r="L235" s="15">
        <v>2025</v>
      </c>
      <c r="M235" s="16">
        <v>262</v>
      </c>
      <c r="N235" s="20">
        <v>41451</v>
      </c>
      <c r="O235" s="20">
        <v>41451</v>
      </c>
    </row>
    <row r="236" spans="1:15" ht="14.25">
      <c r="A236" s="17">
        <v>2013</v>
      </c>
      <c r="B236" s="18" t="s">
        <v>453</v>
      </c>
      <c r="C236" s="18" t="s">
        <v>454</v>
      </c>
      <c r="D236" s="19">
        <v>223000</v>
      </c>
      <c r="E236" s="19">
        <v>0</v>
      </c>
      <c r="F236" s="19"/>
      <c r="G236" s="19">
        <v>80</v>
      </c>
      <c r="H236" s="19" t="s">
        <v>51</v>
      </c>
      <c r="I236" s="19"/>
      <c r="J236" s="19" t="s">
        <v>52</v>
      </c>
      <c r="K236" s="19" t="b">
        <v>1</v>
      </c>
      <c r="L236" s="15">
        <v>2016</v>
      </c>
      <c r="M236" s="16">
        <v>14300000</v>
      </c>
      <c r="N236" s="20">
        <v>41451</v>
      </c>
      <c r="O236" s="20">
        <v>41451</v>
      </c>
    </row>
    <row r="237" spans="1:15" ht="14.25">
      <c r="A237" s="17">
        <v>2013</v>
      </c>
      <c r="B237" s="18" t="s">
        <v>453</v>
      </c>
      <c r="C237" s="18" t="s">
        <v>454</v>
      </c>
      <c r="D237" s="19">
        <v>223000</v>
      </c>
      <c r="E237" s="19">
        <v>0</v>
      </c>
      <c r="F237" s="19"/>
      <c r="G237" s="19">
        <v>350</v>
      </c>
      <c r="H237" s="19">
        <v>6</v>
      </c>
      <c r="I237" s="19"/>
      <c r="J237" s="19" t="s">
        <v>27</v>
      </c>
      <c r="K237" s="19" t="b">
        <v>1</v>
      </c>
      <c r="L237" s="15">
        <v>2025</v>
      </c>
      <c r="M237" s="16">
        <v>500000</v>
      </c>
      <c r="N237" s="20">
        <v>41451</v>
      </c>
      <c r="O237" s="20">
        <v>41451</v>
      </c>
    </row>
    <row r="238" spans="1:15" ht="14.25">
      <c r="A238" s="17">
        <v>2013</v>
      </c>
      <c r="B238" s="18" t="s">
        <v>453</v>
      </c>
      <c r="C238" s="18" t="s">
        <v>454</v>
      </c>
      <c r="D238" s="19">
        <v>223000</v>
      </c>
      <c r="E238" s="19">
        <v>0</v>
      </c>
      <c r="F238" s="19"/>
      <c r="G238" s="19">
        <v>460</v>
      </c>
      <c r="H238" s="19">
        <v>9.2</v>
      </c>
      <c r="I238" s="19" t="s">
        <v>461</v>
      </c>
      <c r="J238" s="19" t="s">
        <v>96</v>
      </c>
      <c r="K238" s="19" t="b">
        <v>0</v>
      </c>
      <c r="L238" s="15">
        <v>2019</v>
      </c>
      <c r="M238" s="16">
        <v>0.0395</v>
      </c>
      <c r="N238" s="20">
        <v>41451</v>
      </c>
      <c r="O238" s="20">
        <v>41451</v>
      </c>
    </row>
    <row r="239" spans="1:15" ht="14.25">
      <c r="A239" s="17">
        <v>2013</v>
      </c>
      <c r="B239" s="18" t="s">
        <v>453</v>
      </c>
      <c r="C239" s="18" t="s">
        <v>454</v>
      </c>
      <c r="D239" s="19">
        <v>223000</v>
      </c>
      <c r="E239" s="19">
        <v>0</v>
      </c>
      <c r="F239" s="19"/>
      <c r="G239" s="19">
        <v>470</v>
      </c>
      <c r="H239" s="19">
        <v>9.3</v>
      </c>
      <c r="I239" s="19" t="s">
        <v>459</v>
      </c>
      <c r="J239" s="19" t="s">
        <v>467</v>
      </c>
      <c r="K239" s="19" t="b">
        <v>1</v>
      </c>
      <c r="L239" s="15">
        <v>2013</v>
      </c>
      <c r="M239" s="16">
        <v>0.0579</v>
      </c>
      <c r="N239" s="20">
        <v>41451</v>
      </c>
      <c r="O239" s="20">
        <v>41451</v>
      </c>
    </row>
    <row r="240" spans="1:15" ht="14.25">
      <c r="A240" s="17">
        <v>2013</v>
      </c>
      <c r="B240" s="18" t="s">
        <v>453</v>
      </c>
      <c r="C240" s="18" t="s">
        <v>454</v>
      </c>
      <c r="D240" s="19">
        <v>223000</v>
      </c>
      <c r="E240" s="19">
        <v>0</v>
      </c>
      <c r="F240" s="19"/>
      <c r="G240" s="19">
        <v>505</v>
      </c>
      <c r="H240" s="19" t="s">
        <v>100</v>
      </c>
      <c r="I240" s="19" t="s">
        <v>464</v>
      </c>
      <c r="J240" s="19" t="s">
        <v>101</v>
      </c>
      <c r="K240" s="19" t="b">
        <v>0</v>
      </c>
      <c r="L240" s="15">
        <v>2014</v>
      </c>
      <c r="M240" s="16">
        <v>0.2077</v>
      </c>
      <c r="N240" s="20">
        <v>41451</v>
      </c>
      <c r="O240" s="20">
        <v>41451</v>
      </c>
    </row>
    <row r="241" spans="1:15" ht="14.25">
      <c r="A241" s="17">
        <v>2013</v>
      </c>
      <c r="B241" s="18" t="s">
        <v>453</v>
      </c>
      <c r="C241" s="18" t="s">
        <v>454</v>
      </c>
      <c r="D241" s="19">
        <v>223000</v>
      </c>
      <c r="E241" s="19">
        <v>0</v>
      </c>
      <c r="F241" s="19"/>
      <c r="G241" s="19">
        <v>190</v>
      </c>
      <c r="H241" s="19">
        <v>2.2</v>
      </c>
      <c r="I241" s="19"/>
      <c r="J241" s="19" t="s">
        <v>69</v>
      </c>
      <c r="K241" s="19" t="b">
        <v>0</v>
      </c>
      <c r="L241" s="15">
        <v>2013</v>
      </c>
      <c r="M241" s="16">
        <v>19977955</v>
      </c>
      <c r="N241" s="20">
        <v>41451</v>
      </c>
      <c r="O241" s="20">
        <v>41451</v>
      </c>
    </row>
    <row r="242" spans="1:15" ht="14.25">
      <c r="A242" s="17">
        <v>2013</v>
      </c>
      <c r="B242" s="18" t="s">
        <v>453</v>
      </c>
      <c r="C242" s="18" t="s">
        <v>454</v>
      </c>
      <c r="D242" s="19">
        <v>223000</v>
      </c>
      <c r="E242" s="19">
        <v>0</v>
      </c>
      <c r="F242" s="19"/>
      <c r="G242" s="19">
        <v>520</v>
      </c>
      <c r="H242" s="19" t="s">
        <v>103</v>
      </c>
      <c r="I242" s="19"/>
      <c r="J242" s="19" t="s">
        <v>470</v>
      </c>
      <c r="K242" s="19" t="b">
        <v>1</v>
      </c>
      <c r="L242" s="15">
        <v>2018</v>
      </c>
      <c r="M242" s="16">
        <v>0.1082</v>
      </c>
      <c r="N242" s="20">
        <v>41451</v>
      </c>
      <c r="O242" s="20">
        <v>41451</v>
      </c>
    </row>
    <row r="243" spans="1:15" ht="14.25">
      <c r="A243" s="17">
        <v>2013</v>
      </c>
      <c r="B243" s="18" t="s">
        <v>453</v>
      </c>
      <c r="C243" s="18" t="s">
        <v>454</v>
      </c>
      <c r="D243" s="19">
        <v>223000</v>
      </c>
      <c r="E243" s="19">
        <v>0</v>
      </c>
      <c r="F243" s="19"/>
      <c r="G243" s="19">
        <v>470</v>
      </c>
      <c r="H243" s="19">
        <v>9.3</v>
      </c>
      <c r="I243" s="19" t="s">
        <v>459</v>
      </c>
      <c r="J243" s="19" t="s">
        <v>467</v>
      </c>
      <c r="K243" s="19" t="b">
        <v>1</v>
      </c>
      <c r="L243" s="15">
        <v>2024</v>
      </c>
      <c r="M243" s="16">
        <v>0.0261</v>
      </c>
      <c r="N243" s="20">
        <v>41451</v>
      </c>
      <c r="O243" s="20">
        <v>41451</v>
      </c>
    </row>
    <row r="244" spans="1:15" ht="14.25">
      <c r="A244" s="17">
        <v>2013</v>
      </c>
      <c r="B244" s="18" t="s">
        <v>453</v>
      </c>
      <c r="C244" s="18" t="s">
        <v>454</v>
      </c>
      <c r="D244" s="19">
        <v>223000</v>
      </c>
      <c r="E244" s="19">
        <v>0</v>
      </c>
      <c r="F244" s="19"/>
      <c r="G244" s="19">
        <v>540</v>
      </c>
      <c r="H244" s="19" t="s">
        <v>106</v>
      </c>
      <c r="I244" s="19" t="s">
        <v>460</v>
      </c>
      <c r="J244" s="19" t="s">
        <v>107</v>
      </c>
      <c r="K244" s="19" t="b">
        <v>0</v>
      </c>
      <c r="L244" s="15">
        <v>2013</v>
      </c>
      <c r="M244" s="16">
        <v>288</v>
      </c>
      <c r="N244" s="20">
        <v>41451</v>
      </c>
      <c r="O244" s="20">
        <v>41451</v>
      </c>
    </row>
    <row r="245" spans="1:15" ht="14.25">
      <c r="A245" s="17">
        <v>2013</v>
      </c>
      <c r="B245" s="18" t="s">
        <v>453</v>
      </c>
      <c r="C245" s="18" t="s">
        <v>454</v>
      </c>
      <c r="D245" s="19">
        <v>223000</v>
      </c>
      <c r="E245" s="19">
        <v>0</v>
      </c>
      <c r="F245" s="19"/>
      <c r="G245" s="19">
        <v>540</v>
      </c>
      <c r="H245" s="19" t="s">
        <v>106</v>
      </c>
      <c r="I245" s="19" t="s">
        <v>460</v>
      </c>
      <c r="J245" s="19" t="s">
        <v>107</v>
      </c>
      <c r="K245" s="19" t="b">
        <v>0</v>
      </c>
      <c r="L245" s="15">
        <v>2021</v>
      </c>
      <c r="M245" s="16">
        <v>46</v>
      </c>
      <c r="N245" s="20">
        <v>41451</v>
      </c>
      <c r="O245" s="20">
        <v>41451</v>
      </c>
    </row>
    <row r="246" spans="1:15" ht="14.25">
      <c r="A246" s="17">
        <v>2013</v>
      </c>
      <c r="B246" s="18" t="s">
        <v>453</v>
      </c>
      <c r="C246" s="18" t="s">
        <v>454</v>
      </c>
      <c r="D246" s="19">
        <v>223000</v>
      </c>
      <c r="E246" s="19">
        <v>0</v>
      </c>
      <c r="F246" s="19"/>
      <c r="G246" s="19">
        <v>540</v>
      </c>
      <c r="H246" s="19" t="s">
        <v>106</v>
      </c>
      <c r="I246" s="19" t="s">
        <v>460</v>
      </c>
      <c r="J246" s="19" t="s">
        <v>107</v>
      </c>
      <c r="K246" s="19" t="b">
        <v>0</v>
      </c>
      <c r="L246" s="15">
        <v>2016</v>
      </c>
      <c r="M246" s="16">
        <v>1331</v>
      </c>
      <c r="N246" s="20">
        <v>41451</v>
      </c>
      <c r="O246" s="20">
        <v>41451</v>
      </c>
    </row>
    <row r="247" spans="1:15" ht="14.25">
      <c r="A247" s="17">
        <v>2013</v>
      </c>
      <c r="B247" s="18" t="s">
        <v>453</v>
      </c>
      <c r="C247" s="18" t="s">
        <v>454</v>
      </c>
      <c r="D247" s="19">
        <v>223000</v>
      </c>
      <c r="E247" s="19">
        <v>0</v>
      </c>
      <c r="F247" s="19"/>
      <c r="G247" s="19">
        <v>530</v>
      </c>
      <c r="H247" s="19">
        <v>9.8</v>
      </c>
      <c r="I247" s="19" t="s">
        <v>462</v>
      </c>
      <c r="J247" s="19" t="s">
        <v>105</v>
      </c>
      <c r="K247" s="19" t="b">
        <v>0</v>
      </c>
      <c r="L247" s="15">
        <v>2020</v>
      </c>
      <c r="M247" s="16">
        <v>50</v>
      </c>
      <c r="N247" s="20">
        <v>41451</v>
      </c>
      <c r="O247" s="20">
        <v>41451</v>
      </c>
    </row>
    <row r="248" spans="1:15" ht="14.25">
      <c r="A248" s="17">
        <v>2013</v>
      </c>
      <c r="B248" s="18" t="s">
        <v>453</v>
      </c>
      <c r="C248" s="18" t="s">
        <v>454</v>
      </c>
      <c r="D248" s="19">
        <v>223000</v>
      </c>
      <c r="E248" s="19">
        <v>0</v>
      </c>
      <c r="F248" s="19"/>
      <c r="G248" s="19">
        <v>590</v>
      </c>
      <c r="H248" s="19">
        <v>11.2</v>
      </c>
      <c r="I248" s="19"/>
      <c r="J248" s="19" t="s">
        <v>112</v>
      </c>
      <c r="K248" s="19" t="b">
        <v>1</v>
      </c>
      <c r="L248" s="15">
        <v>2016</v>
      </c>
      <c r="M248" s="16">
        <v>12000000</v>
      </c>
      <c r="N248" s="20">
        <v>41451</v>
      </c>
      <c r="O248" s="20">
        <v>41451</v>
      </c>
    </row>
    <row r="249" spans="1:15" ht="14.25">
      <c r="A249" s="17">
        <v>2013</v>
      </c>
      <c r="B249" s="18" t="s">
        <v>453</v>
      </c>
      <c r="C249" s="18" t="s">
        <v>454</v>
      </c>
      <c r="D249" s="19">
        <v>223000</v>
      </c>
      <c r="E249" s="19">
        <v>0</v>
      </c>
      <c r="F249" s="19"/>
      <c r="G249" s="19">
        <v>470</v>
      </c>
      <c r="H249" s="19">
        <v>9.3</v>
      </c>
      <c r="I249" s="19" t="s">
        <v>459</v>
      </c>
      <c r="J249" s="19" t="s">
        <v>467</v>
      </c>
      <c r="K249" s="19" t="b">
        <v>1</v>
      </c>
      <c r="L249" s="15">
        <v>2014</v>
      </c>
      <c r="M249" s="16">
        <v>0.0601</v>
      </c>
      <c r="N249" s="20">
        <v>41451</v>
      </c>
      <c r="O249" s="20">
        <v>41451</v>
      </c>
    </row>
    <row r="250" spans="1:15" ht="14.25">
      <c r="A250" s="17">
        <v>2013</v>
      </c>
      <c r="B250" s="18" t="s">
        <v>453</v>
      </c>
      <c r="C250" s="18" t="s">
        <v>454</v>
      </c>
      <c r="D250" s="19">
        <v>223000</v>
      </c>
      <c r="E250" s="19">
        <v>0</v>
      </c>
      <c r="F250" s="19"/>
      <c r="G250" s="19">
        <v>70</v>
      </c>
      <c r="H250" s="19" t="s">
        <v>49</v>
      </c>
      <c r="I250" s="19"/>
      <c r="J250" s="19" t="s">
        <v>50</v>
      </c>
      <c r="K250" s="19" t="b">
        <v>1</v>
      </c>
      <c r="L250" s="15">
        <v>2015</v>
      </c>
      <c r="M250" s="16">
        <v>25200000</v>
      </c>
      <c r="N250" s="20">
        <v>41451</v>
      </c>
      <c r="O250" s="20">
        <v>41451</v>
      </c>
    </row>
    <row r="251" spans="1:15" ht="14.25">
      <c r="A251" s="17">
        <v>2013</v>
      </c>
      <c r="B251" s="18" t="s">
        <v>453</v>
      </c>
      <c r="C251" s="18" t="s">
        <v>454</v>
      </c>
      <c r="D251" s="19">
        <v>223000</v>
      </c>
      <c r="E251" s="19">
        <v>0</v>
      </c>
      <c r="F251" s="19"/>
      <c r="G251" s="19">
        <v>530</v>
      </c>
      <c r="H251" s="19">
        <v>9.8</v>
      </c>
      <c r="I251" s="19" t="s">
        <v>462</v>
      </c>
      <c r="J251" s="19" t="s">
        <v>105</v>
      </c>
      <c r="K251" s="19" t="b">
        <v>0</v>
      </c>
      <c r="L251" s="15">
        <v>2021</v>
      </c>
      <c r="M251" s="16">
        <v>46</v>
      </c>
      <c r="N251" s="20">
        <v>41451</v>
      </c>
      <c r="O251" s="20">
        <v>41451</v>
      </c>
    </row>
    <row r="252" spans="1:15" ht="14.25">
      <c r="A252" s="17">
        <v>2013</v>
      </c>
      <c r="B252" s="18" t="s">
        <v>453</v>
      </c>
      <c r="C252" s="18" t="s">
        <v>454</v>
      </c>
      <c r="D252" s="19">
        <v>223000</v>
      </c>
      <c r="E252" s="19">
        <v>0</v>
      </c>
      <c r="F252" s="19"/>
      <c r="G252" s="19">
        <v>560</v>
      </c>
      <c r="H252" s="19">
        <v>10.1</v>
      </c>
      <c r="I252" s="19"/>
      <c r="J252" s="19" t="s">
        <v>109</v>
      </c>
      <c r="K252" s="19" t="b">
        <v>0</v>
      </c>
      <c r="L252" s="15">
        <v>2013</v>
      </c>
      <c r="M252" s="16">
        <v>2374361</v>
      </c>
      <c r="N252" s="20">
        <v>41451</v>
      </c>
      <c r="O252" s="20">
        <v>41451</v>
      </c>
    </row>
    <row r="253" spans="1:15" ht="14.25">
      <c r="A253" s="17">
        <v>2013</v>
      </c>
      <c r="B253" s="18" t="s">
        <v>453</v>
      </c>
      <c r="C253" s="18" t="s">
        <v>454</v>
      </c>
      <c r="D253" s="19">
        <v>223000</v>
      </c>
      <c r="E253" s="19">
        <v>0</v>
      </c>
      <c r="F253" s="19"/>
      <c r="G253" s="19">
        <v>560</v>
      </c>
      <c r="H253" s="19">
        <v>10.1</v>
      </c>
      <c r="I253" s="19"/>
      <c r="J253" s="19" t="s">
        <v>109</v>
      </c>
      <c r="K253" s="19" t="b">
        <v>0</v>
      </c>
      <c r="L253" s="15">
        <v>2016</v>
      </c>
      <c r="M253" s="16">
        <v>2501733</v>
      </c>
      <c r="N253" s="20">
        <v>41451</v>
      </c>
      <c r="O253" s="20">
        <v>41451</v>
      </c>
    </row>
    <row r="254" spans="1:15" ht="14.25">
      <c r="A254" s="17">
        <v>2013</v>
      </c>
      <c r="B254" s="18" t="s">
        <v>453</v>
      </c>
      <c r="C254" s="18" t="s">
        <v>454</v>
      </c>
      <c r="D254" s="19">
        <v>223000</v>
      </c>
      <c r="E254" s="19">
        <v>0</v>
      </c>
      <c r="F254" s="19"/>
      <c r="G254" s="19">
        <v>390</v>
      </c>
      <c r="H254" s="19">
        <v>6.3</v>
      </c>
      <c r="I254" s="19" t="s">
        <v>472</v>
      </c>
      <c r="J254" s="19" t="s">
        <v>91</v>
      </c>
      <c r="K254" s="19" t="b">
        <v>0</v>
      </c>
      <c r="L254" s="15">
        <v>2016</v>
      </c>
      <c r="M254" s="16">
        <v>0.2299</v>
      </c>
      <c r="N254" s="20">
        <v>41451</v>
      </c>
      <c r="O254" s="20">
        <v>41451</v>
      </c>
    </row>
    <row r="255" spans="1:15" ht="14.25">
      <c r="A255" s="17">
        <v>2013</v>
      </c>
      <c r="B255" s="18" t="s">
        <v>453</v>
      </c>
      <c r="C255" s="18" t="s">
        <v>454</v>
      </c>
      <c r="D255" s="19">
        <v>223000</v>
      </c>
      <c r="E255" s="19">
        <v>0</v>
      </c>
      <c r="F255" s="19"/>
      <c r="G255" s="19">
        <v>460</v>
      </c>
      <c r="H255" s="19">
        <v>9.2</v>
      </c>
      <c r="I255" s="19" t="s">
        <v>461</v>
      </c>
      <c r="J255" s="19" t="s">
        <v>96</v>
      </c>
      <c r="K255" s="19" t="b">
        <v>0</v>
      </c>
      <c r="L255" s="15">
        <v>2018</v>
      </c>
      <c r="M255" s="16">
        <v>0.0414</v>
      </c>
      <c r="N255" s="20">
        <v>41451</v>
      </c>
      <c r="O255" s="20">
        <v>41451</v>
      </c>
    </row>
    <row r="256" spans="1:15" ht="14.25">
      <c r="A256" s="17">
        <v>2013</v>
      </c>
      <c r="B256" s="18" t="s">
        <v>453</v>
      </c>
      <c r="C256" s="18" t="s">
        <v>454</v>
      </c>
      <c r="D256" s="19">
        <v>223000</v>
      </c>
      <c r="E256" s="19">
        <v>0</v>
      </c>
      <c r="F256" s="19"/>
      <c r="G256" s="19">
        <v>880</v>
      </c>
      <c r="H256" s="19">
        <v>14.1</v>
      </c>
      <c r="I256" s="19"/>
      <c r="J256" s="19" t="s">
        <v>151</v>
      </c>
      <c r="K256" s="19" t="b">
        <v>1</v>
      </c>
      <c r="L256" s="15">
        <v>2021</v>
      </c>
      <c r="M256" s="16">
        <v>2501731</v>
      </c>
      <c r="N256" s="20">
        <v>41451</v>
      </c>
      <c r="O256" s="20">
        <v>41451</v>
      </c>
    </row>
    <row r="257" spans="1:15" ht="14.25">
      <c r="A257" s="17">
        <v>2013</v>
      </c>
      <c r="B257" s="18" t="s">
        <v>453</v>
      </c>
      <c r="C257" s="18" t="s">
        <v>454</v>
      </c>
      <c r="D257" s="19">
        <v>223000</v>
      </c>
      <c r="E257" s="19">
        <v>0</v>
      </c>
      <c r="F257" s="19"/>
      <c r="G257" s="19">
        <v>480</v>
      </c>
      <c r="H257" s="19">
        <v>9.4</v>
      </c>
      <c r="I257" s="19" t="s">
        <v>461</v>
      </c>
      <c r="J257" s="19" t="s">
        <v>97</v>
      </c>
      <c r="K257" s="19" t="b">
        <v>0</v>
      </c>
      <c r="L257" s="15">
        <v>2018</v>
      </c>
      <c r="M257" s="16">
        <v>0.0414</v>
      </c>
      <c r="N257" s="20">
        <v>41451</v>
      </c>
      <c r="O257" s="20">
        <v>41451</v>
      </c>
    </row>
    <row r="258" spans="1:15" ht="14.25">
      <c r="A258" s="17">
        <v>2013</v>
      </c>
      <c r="B258" s="18" t="s">
        <v>453</v>
      </c>
      <c r="C258" s="18" t="s">
        <v>454</v>
      </c>
      <c r="D258" s="19">
        <v>223000</v>
      </c>
      <c r="E258" s="19">
        <v>0</v>
      </c>
      <c r="F258" s="19"/>
      <c r="G258" s="19">
        <v>470</v>
      </c>
      <c r="H258" s="19">
        <v>9.3</v>
      </c>
      <c r="I258" s="19" t="s">
        <v>459</v>
      </c>
      <c r="J258" s="19" t="s">
        <v>467</v>
      </c>
      <c r="K258" s="19" t="b">
        <v>1</v>
      </c>
      <c r="L258" s="15">
        <v>2017</v>
      </c>
      <c r="M258" s="16">
        <v>0.0436</v>
      </c>
      <c r="N258" s="20">
        <v>41451</v>
      </c>
      <c r="O258" s="20">
        <v>41451</v>
      </c>
    </row>
    <row r="259" spans="1:15" ht="14.25">
      <c r="A259" s="17">
        <v>2013</v>
      </c>
      <c r="B259" s="18" t="s">
        <v>453</v>
      </c>
      <c r="C259" s="18" t="s">
        <v>454</v>
      </c>
      <c r="D259" s="19">
        <v>223000</v>
      </c>
      <c r="E259" s="19">
        <v>0</v>
      </c>
      <c r="F259" s="19"/>
      <c r="G259" s="19">
        <v>120</v>
      </c>
      <c r="H259" s="19">
        <v>2</v>
      </c>
      <c r="I259" s="19" t="s">
        <v>469</v>
      </c>
      <c r="J259" s="19" t="s">
        <v>21</v>
      </c>
      <c r="K259" s="19" t="b">
        <v>0</v>
      </c>
      <c r="L259" s="15">
        <v>2018</v>
      </c>
      <c r="M259" s="16">
        <v>80347735</v>
      </c>
      <c r="N259" s="20">
        <v>41451</v>
      </c>
      <c r="O259" s="20">
        <v>41451</v>
      </c>
    </row>
    <row r="260" spans="1:15" ht="14.25">
      <c r="A260" s="17">
        <v>2013</v>
      </c>
      <c r="B260" s="18" t="s">
        <v>453</v>
      </c>
      <c r="C260" s="18" t="s">
        <v>454</v>
      </c>
      <c r="D260" s="19">
        <v>223000</v>
      </c>
      <c r="E260" s="19">
        <v>0</v>
      </c>
      <c r="F260" s="19"/>
      <c r="G260" s="19">
        <v>200</v>
      </c>
      <c r="H260" s="19">
        <v>3</v>
      </c>
      <c r="I260" s="19" t="s">
        <v>455</v>
      </c>
      <c r="J260" s="19" t="s">
        <v>23</v>
      </c>
      <c r="K260" s="19" t="b">
        <v>0</v>
      </c>
      <c r="L260" s="15">
        <v>2026</v>
      </c>
      <c r="M260" s="16">
        <v>500000</v>
      </c>
      <c r="N260" s="20">
        <v>41451</v>
      </c>
      <c r="O260" s="20">
        <v>41451</v>
      </c>
    </row>
    <row r="261" spans="1:15" ht="14.25">
      <c r="A261" s="17">
        <v>2013</v>
      </c>
      <c r="B261" s="18" t="s">
        <v>453</v>
      </c>
      <c r="C261" s="18" t="s">
        <v>454</v>
      </c>
      <c r="D261" s="19">
        <v>223000</v>
      </c>
      <c r="E261" s="19">
        <v>0</v>
      </c>
      <c r="F261" s="19"/>
      <c r="G261" s="19">
        <v>880</v>
      </c>
      <c r="H261" s="19">
        <v>14.1</v>
      </c>
      <c r="I261" s="19"/>
      <c r="J261" s="19" t="s">
        <v>151</v>
      </c>
      <c r="K261" s="19" t="b">
        <v>1</v>
      </c>
      <c r="L261" s="15">
        <v>2025</v>
      </c>
      <c r="M261" s="16">
        <v>500000</v>
      </c>
      <c r="N261" s="20">
        <v>41451</v>
      </c>
      <c r="O261" s="20">
        <v>41451</v>
      </c>
    </row>
    <row r="262" spans="1:15" ht="14.25">
      <c r="A262" s="17">
        <v>2013</v>
      </c>
      <c r="B262" s="18" t="s">
        <v>453</v>
      </c>
      <c r="C262" s="18" t="s">
        <v>454</v>
      </c>
      <c r="D262" s="19">
        <v>223000</v>
      </c>
      <c r="E262" s="19">
        <v>0</v>
      </c>
      <c r="F262" s="19"/>
      <c r="G262" s="19">
        <v>450</v>
      </c>
      <c r="H262" s="19">
        <v>9.1</v>
      </c>
      <c r="I262" s="19" t="s">
        <v>459</v>
      </c>
      <c r="J262" s="19" t="s">
        <v>95</v>
      </c>
      <c r="K262" s="19" t="b">
        <v>1</v>
      </c>
      <c r="L262" s="15">
        <v>2020</v>
      </c>
      <c r="M262" s="16">
        <v>0.0373</v>
      </c>
      <c r="N262" s="20">
        <v>41451</v>
      </c>
      <c r="O262" s="20">
        <v>41451</v>
      </c>
    </row>
    <row r="263" spans="1:15" ht="14.25">
      <c r="A263" s="17">
        <v>2013</v>
      </c>
      <c r="B263" s="18" t="s">
        <v>453</v>
      </c>
      <c r="C263" s="18" t="s">
        <v>454</v>
      </c>
      <c r="D263" s="19">
        <v>223000</v>
      </c>
      <c r="E263" s="19">
        <v>0</v>
      </c>
      <c r="F263" s="19"/>
      <c r="G263" s="19">
        <v>505</v>
      </c>
      <c r="H263" s="19" t="s">
        <v>100</v>
      </c>
      <c r="I263" s="19" t="s">
        <v>464</v>
      </c>
      <c r="J263" s="19" t="s">
        <v>101</v>
      </c>
      <c r="K263" s="19" t="b">
        <v>0</v>
      </c>
      <c r="L263" s="15">
        <v>2015</v>
      </c>
      <c r="M263" s="16">
        <v>0.1704</v>
      </c>
      <c r="N263" s="20">
        <v>41451</v>
      </c>
      <c r="O263" s="20">
        <v>41451</v>
      </c>
    </row>
    <row r="264" spans="1:15" ht="14.25">
      <c r="A264" s="17">
        <v>2013</v>
      </c>
      <c r="B264" s="18" t="s">
        <v>453</v>
      </c>
      <c r="C264" s="18" t="s">
        <v>454</v>
      </c>
      <c r="D264" s="19">
        <v>223000</v>
      </c>
      <c r="E264" s="19">
        <v>0</v>
      </c>
      <c r="F264" s="19"/>
      <c r="G264" s="19">
        <v>550</v>
      </c>
      <c r="H264" s="19">
        <v>10</v>
      </c>
      <c r="I264" s="19"/>
      <c r="J264" s="19" t="s">
        <v>108</v>
      </c>
      <c r="K264" s="19" t="b">
        <v>0</v>
      </c>
      <c r="L264" s="15">
        <v>2021</v>
      </c>
      <c r="M264" s="16">
        <v>2501731</v>
      </c>
      <c r="N264" s="20">
        <v>41451</v>
      </c>
      <c r="O264" s="20">
        <v>41451</v>
      </c>
    </row>
    <row r="265" spans="1:15" ht="14.25">
      <c r="A265" s="17">
        <v>2013</v>
      </c>
      <c r="B265" s="18" t="s">
        <v>453</v>
      </c>
      <c r="C265" s="18" t="s">
        <v>454</v>
      </c>
      <c r="D265" s="19">
        <v>223000</v>
      </c>
      <c r="E265" s="19">
        <v>0</v>
      </c>
      <c r="F265" s="19"/>
      <c r="G265" s="19">
        <v>380</v>
      </c>
      <c r="H265" s="19">
        <v>6.2</v>
      </c>
      <c r="I265" s="19" t="s">
        <v>466</v>
      </c>
      <c r="J265" s="19" t="s">
        <v>90</v>
      </c>
      <c r="K265" s="19" t="b">
        <v>0</v>
      </c>
      <c r="L265" s="15">
        <v>2020</v>
      </c>
      <c r="M265" s="16">
        <v>0.1182</v>
      </c>
      <c r="N265" s="20">
        <v>41451</v>
      </c>
      <c r="O265" s="20">
        <v>41451</v>
      </c>
    </row>
    <row r="266" spans="1:15" ht="14.25">
      <c r="A266" s="17">
        <v>2013</v>
      </c>
      <c r="B266" s="18" t="s">
        <v>453</v>
      </c>
      <c r="C266" s="18" t="s">
        <v>454</v>
      </c>
      <c r="D266" s="19">
        <v>223000</v>
      </c>
      <c r="E266" s="19">
        <v>0</v>
      </c>
      <c r="F266" s="19"/>
      <c r="G266" s="19">
        <v>120</v>
      </c>
      <c r="H266" s="19">
        <v>2</v>
      </c>
      <c r="I266" s="19" t="s">
        <v>469</v>
      </c>
      <c r="J266" s="19" t="s">
        <v>21</v>
      </c>
      <c r="K266" s="19" t="b">
        <v>0</v>
      </c>
      <c r="L266" s="15">
        <v>2026</v>
      </c>
      <c r="M266" s="16">
        <v>89160000</v>
      </c>
      <c r="N266" s="20">
        <v>41451</v>
      </c>
      <c r="O266" s="20">
        <v>41451</v>
      </c>
    </row>
    <row r="267" spans="1:15" ht="14.25">
      <c r="A267" s="17">
        <v>2013</v>
      </c>
      <c r="B267" s="18" t="s">
        <v>453</v>
      </c>
      <c r="C267" s="18" t="s">
        <v>454</v>
      </c>
      <c r="D267" s="19">
        <v>223000</v>
      </c>
      <c r="E267" s="19">
        <v>0</v>
      </c>
      <c r="F267" s="19"/>
      <c r="G267" s="19">
        <v>510</v>
      </c>
      <c r="H267" s="19">
        <v>9.7</v>
      </c>
      <c r="I267" s="19"/>
      <c r="J267" s="19" t="s">
        <v>473</v>
      </c>
      <c r="K267" s="19" t="b">
        <v>1</v>
      </c>
      <c r="L267" s="15">
        <v>2021</v>
      </c>
      <c r="M267" s="16">
        <v>0.0399</v>
      </c>
      <c r="N267" s="20">
        <v>41451</v>
      </c>
      <c r="O267" s="20">
        <v>41451</v>
      </c>
    </row>
    <row r="268" spans="1:15" ht="14.25">
      <c r="A268" s="17">
        <v>2013</v>
      </c>
      <c r="B268" s="18" t="s">
        <v>453</v>
      </c>
      <c r="C268" s="18" t="s">
        <v>454</v>
      </c>
      <c r="D268" s="19">
        <v>223000</v>
      </c>
      <c r="E268" s="19">
        <v>0</v>
      </c>
      <c r="F268" s="19"/>
      <c r="G268" s="19">
        <v>550</v>
      </c>
      <c r="H268" s="19">
        <v>10</v>
      </c>
      <c r="I268" s="19"/>
      <c r="J268" s="19" t="s">
        <v>108</v>
      </c>
      <c r="K268" s="19" t="b">
        <v>0</v>
      </c>
      <c r="L268" s="15">
        <v>2016</v>
      </c>
      <c r="M268" s="16">
        <v>2501733</v>
      </c>
      <c r="N268" s="20">
        <v>41451</v>
      </c>
      <c r="O268" s="20">
        <v>41451</v>
      </c>
    </row>
    <row r="269" spans="1:15" ht="14.25">
      <c r="A269" s="17">
        <v>2013</v>
      </c>
      <c r="B269" s="18" t="s">
        <v>453</v>
      </c>
      <c r="C269" s="18" t="s">
        <v>454</v>
      </c>
      <c r="D269" s="19">
        <v>223000</v>
      </c>
      <c r="E269" s="19">
        <v>0</v>
      </c>
      <c r="F269" s="19"/>
      <c r="G269" s="19">
        <v>430</v>
      </c>
      <c r="H269" s="19">
        <v>8.2</v>
      </c>
      <c r="I269" s="19" t="s">
        <v>471</v>
      </c>
      <c r="J269" s="19" t="s">
        <v>94</v>
      </c>
      <c r="K269" s="19" t="b">
        <v>0</v>
      </c>
      <c r="L269" s="15">
        <v>2016</v>
      </c>
      <c r="M269" s="16">
        <v>2001733</v>
      </c>
      <c r="N269" s="20">
        <v>41451</v>
      </c>
      <c r="O269" s="20">
        <v>41451</v>
      </c>
    </row>
    <row r="270" spans="1:15" ht="14.25">
      <c r="A270" s="17">
        <v>2013</v>
      </c>
      <c r="B270" s="18" t="s">
        <v>453</v>
      </c>
      <c r="C270" s="18" t="s">
        <v>454</v>
      </c>
      <c r="D270" s="19">
        <v>223000</v>
      </c>
      <c r="E270" s="19">
        <v>0</v>
      </c>
      <c r="F270" s="19"/>
      <c r="G270" s="19">
        <v>560</v>
      </c>
      <c r="H270" s="19">
        <v>10.1</v>
      </c>
      <c r="I270" s="19"/>
      <c r="J270" s="19" t="s">
        <v>109</v>
      </c>
      <c r="K270" s="19" t="b">
        <v>0</v>
      </c>
      <c r="L270" s="15">
        <v>2019</v>
      </c>
      <c r="M270" s="16">
        <v>2501733</v>
      </c>
      <c r="N270" s="20">
        <v>41451</v>
      </c>
      <c r="O270" s="20">
        <v>41451</v>
      </c>
    </row>
    <row r="271" spans="1:15" ht="14.25">
      <c r="A271" s="17">
        <v>2013</v>
      </c>
      <c r="B271" s="18" t="s">
        <v>453</v>
      </c>
      <c r="C271" s="18" t="s">
        <v>454</v>
      </c>
      <c r="D271" s="19">
        <v>223000</v>
      </c>
      <c r="E271" s="19">
        <v>0</v>
      </c>
      <c r="F271" s="19"/>
      <c r="G271" s="19">
        <v>640</v>
      </c>
      <c r="H271" s="19">
        <v>11.5</v>
      </c>
      <c r="I271" s="19"/>
      <c r="J271" s="19" t="s">
        <v>119</v>
      </c>
      <c r="K271" s="19" t="b">
        <v>1</v>
      </c>
      <c r="L271" s="15">
        <v>2017</v>
      </c>
      <c r="M271" s="16">
        <v>1000000</v>
      </c>
      <c r="N271" s="20">
        <v>41451</v>
      </c>
      <c r="O271" s="20">
        <v>41451</v>
      </c>
    </row>
    <row r="272" spans="1:15" ht="14.25">
      <c r="A272" s="17">
        <v>2013</v>
      </c>
      <c r="B272" s="18" t="s">
        <v>453</v>
      </c>
      <c r="C272" s="18" t="s">
        <v>454</v>
      </c>
      <c r="D272" s="19">
        <v>223000</v>
      </c>
      <c r="E272" s="19">
        <v>0</v>
      </c>
      <c r="F272" s="19"/>
      <c r="G272" s="19">
        <v>505</v>
      </c>
      <c r="H272" s="19" t="s">
        <v>100</v>
      </c>
      <c r="I272" s="19" t="s">
        <v>464</v>
      </c>
      <c r="J272" s="19" t="s">
        <v>101</v>
      </c>
      <c r="K272" s="19" t="b">
        <v>0</v>
      </c>
      <c r="L272" s="15">
        <v>2016</v>
      </c>
      <c r="M272" s="16">
        <v>0.1094</v>
      </c>
      <c r="N272" s="20">
        <v>41451</v>
      </c>
      <c r="O272" s="20">
        <v>41451</v>
      </c>
    </row>
    <row r="273" spans="1:15" ht="14.25">
      <c r="A273" s="17">
        <v>2013</v>
      </c>
      <c r="B273" s="18" t="s">
        <v>453</v>
      </c>
      <c r="C273" s="18" t="s">
        <v>454</v>
      </c>
      <c r="D273" s="19">
        <v>223000</v>
      </c>
      <c r="E273" s="19">
        <v>0</v>
      </c>
      <c r="F273" s="19"/>
      <c r="G273" s="19">
        <v>690</v>
      </c>
      <c r="H273" s="19" t="s">
        <v>125</v>
      </c>
      <c r="I273" s="19"/>
      <c r="J273" s="19" t="s">
        <v>126</v>
      </c>
      <c r="K273" s="19" t="b">
        <v>1</v>
      </c>
      <c r="L273" s="15">
        <v>2013</v>
      </c>
      <c r="M273" s="16">
        <v>398789</v>
      </c>
      <c r="N273" s="20">
        <v>41451</v>
      </c>
      <c r="O273" s="20">
        <v>41451</v>
      </c>
    </row>
    <row r="274" spans="1:15" ht="14.25">
      <c r="A274" s="17">
        <v>2013</v>
      </c>
      <c r="B274" s="18" t="s">
        <v>453</v>
      </c>
      <c r="C274" s="18" t="s">
        <v>454</v>
      </c>
      <c r="D274" s="19">
        <v>223000</v>
      </c>
      <c r="E274" s="19">
        <v>0</v>
      </c>
      <c r="F274" s="19"/>
      <c r="G274" s="19">
        <v>530</v>
      </c>
      <c r="H274" s="19">
        <v>9.8</v>
      </c>
      <c r="I274" s="19" t="s">
        <v>462</v>
      </c>
      <c r="J274" s="19" t="s">
        <v>105</v>
      </c>
      <c r="K274" s="19" t="b">
        <v>0</v>
      </c>
      <c r="L274" s="15">
        <v>2026</v>
      </c>
      <c r="M274" s="16">
        <v>201</v>
      </c>
      <c r="N274" s="20">
        <v>41451</v>
      </c>
      <c r="O274" s="20">
        <v>41451</v>
      </c>
    </row>
    <row r="275" spans="1:15" ht="14.25">
      <c r="A275" s="17">
        <v>2013</v>
      </c>
      <c r="B275" s="18" t="s">
        <v>453</v>
      </c>
      <c r="C275" s="18" t="s">
        <v>454</v>
      </c>
      <c r="D275" s="19">
        <v>223000</v>
      </c>
      <c r="E275" s="19">
        <v>0</v>
      </c>
      <c r="F275" s="19"/>
      <c r="G275" s="19">
        <v>580</v>
      </c>
      <c r="H275" s="19">
        <v>11.1</v>
      </c>
      <c r="I275" s="19"/>
      <c r="J275" s="19" t="s">
        <v>111</v>
      </c>
      <c r="K275" s="19" t="b">
        <v>0</v>
      </c>
      <c r="L275" s="15">
        <v>2024</v>
      </c>
      <c r="M275" s="16">
        <v>35400000</v>
      </c>
      <c r="N275" s="20">
        <v>41451</v>
      </c>
      <c r="O275" s="20">
        <v>41451</v>
      </c>
    </row>
    <row r="276" spans="1:15" ht="14.25">
      <c r="A276" s="17">
        <v>2013</v>
      </c>
      <c r="B276" s="18" t="s">
        <v>453</v>
      </c>
      <c r="C276" s="18" t="s">
        <v>454</v>
      </c>
      <c r="D276" s="19">
        <v>223000</v>
      </c>
      <c r="E276" s="19">
        <v>0</v>
      </c>
      <c r="F276" s="19"/>
      <c r="G276" s="19">
        <v>510</v>
      </c>
      <c r="H276" s="19">
        <v>9.7</v>
      </c>
      <c r="I276" s="19"/>
      <c r="J276" s="19" t="s">
        <v>473</v>
      </c>
      <c r="K276" s="19" t="b">
        <v>1</v>
      </c>
      <c r="L276" s="15">
        <v>2019</v>
      </c>
      <c r="M276" s="16">
        <v>0.0661</v>
      </c>
      <c r="N276" s="20">
        <v>41451</v>
      </c>
      <c r="O276" s="20">
        <v>41451</v>
      </c>
    </row>
    <row r="277" spans="1:15" ht="14.25">
      <c r="A277" s="17">
        <v>2013</v>
      </c>
      <c r="B277" s="18" t="s">
        <v>453</v>
      </c>
      <c r="C277" s="18" t="s">
        <v>454</v>
      </c>
      <c r="D277" s="19">
        <v>223000</v>
      </c>
      <c r="E277" s="19">
        <v>0</v>
      </c>
      <c r="F277" s="19"/>
      <c r="G277" s="19">
        <v>120</v>
      </c>
      <c r="H277" s="19">
        <v>2</v>
      </c>
      <c r="I277" s="19" t="s">
        <v>469</v>
      </c>
      <c r="J277" s="19" t="s">
        <v>21</v>
      </c>
      <c r="K277" s="19" t="b">
        <v>0</v>
      </c>
      <c r="L277" s="15">
        <v>2016</v>
      </c>
      <c r="M277" s="16">
        <v>84354737</v>
      </c>
      <c r="N277" s="20">
        <v>41451</v>
      </c>
      <c r="O277" s="20">
        <v>41451</v>
      </c>
    </row>
    <row r="278" spans="1:15" ht="14.25">
      <c r="A278" s="17">
        <v>2013</v>
      </c>
      <c r="B278" s="18" t="s">
        <v>453</v>
      </c>
      <c r="C278" s="18" t="s">
        <v>454</v>
      </c>
      <c r="D278" s="19">
        <v>223000</v>
      </c>
      <c r="E278" s="19">
        <v>0</v>
      </c>
      <c r="F278" s="19"/>
      <c r="G278" s="19">
        <v>170</v>
      </c>
      <c r="H278" s="19" t="s">
        <v>65</v>
      </c>
      <c r="I278" s="19"/>
      <c r="J278" s="19" t="s">
        <v>66</v>
      </c>
      <c r="K278" s="19" t="b">
        <v>1</v>
      </c>
      <c r="L278" s="15">
        <v>2025</v>
      </c>
      <c r="M278" s="16">
        <v>52031</v>
      </c>
      <c r="N278" s="20">
        <v>41451</v>
      </c>
      <c r="O278" s="20">
        <v>41451</v>
      </c>
    </row>
    <row r="279" spans="1:15" ht="14.25">
      <c r="A279" s="17">
        <v>2013</v>
      </c>
      <c r="B279" s="18" t="s">
        <v>453</v>
      </c>
      <c r="C279" s="18" t="s">
        <v>454</v>
      </c>
      <c r="D279" s="19">
        <v>223000</v>
      </c>
      <c r="E279" s="19">
        <v>0</v>
      </c>
      <c r="F279" s="19"/>
      <c r="G279" s="19">
        <v>510</v>
      </c>
      <c r="H279" s="19">
        <v>9.7</v>
      </c>
      <c r="I279" s="19"/>
      <c r="J279" s="19" t="s">
        <v>473</v>
      </c>
      <c r="K279" s="19" t="b">
        <v>1</v>
      </c>
      <c r="L279" s="15">
        <v>2026</v>
      </c>
      <c r="M279" s="16">
        <v>0.0259</v>
      </c>
      <c r="N279" s="20">
        <v>41451</v>
      </c>
      <c r="O279" s="20">
        <v>41451</v>
      </c>
    </row>
    <row r="280" spans="1:15" ht="14.25">
      <c r="A280" s="17">
        <v>2013</v>
      </c>
      <c r="B280" s="18" t="s">
        <v>453</v>
      </c>
      <c r="C280" s="18" t="s">
        <v>454</v>
      </c>
      <c r="D280" s="19">
        <v>223000</v>
      </c>
      <c r="E280" s="19">
        <v>0</v>
      </c>
      <c r="F280" s="19"/>
      <c r="G280" s="19">
        <v>520</v>
      </c>
      <c r="H280" s="19" t="s">
        <v>103</v>
      </c>
      <c r="I280" s="19"/>
      <c r="J280" s="19" t="s">
        <v>470</v>
      </c>
      <c r="K280" s="19" t="b">
        <v>1</v>
      </c>
      <c r="L280" s="15">
        <v>2026</v>
      </c>
      <c r="M280" s="16">
        <v>0.0259</v>
      </c>
      <c r="N280" s="20">
        <v>41451</v>
      </c>
      <c r="O280" s="20">
        <v>41451</v>
      </c>
    </row>
    <row r="281" spans="1:15" ht="14.25">
      <c r="A281" s="17">
        <v>2013</v>
      </c>
      <c r="B281" s="18" t="s">
        <v>453</v>
      </c>
      <c r="C281" s="18" t="s">
        <v>454</v>
      </c>
      <c r="D281" s="19">
        <v>223000</v>
      </c>
      <c r="E281" s="19">
        <v>0</v>
      </c>
      <c r="F281" s="19"/>
      <c r="G281" s="19">
        <v>900</v>
      </c>
      <c r="H281" s="19">
        <v>14.3</v>
      </c>
      <c r="I281" s="19"/>
      <c r="J281" s="19" t="s">
        <v>153</v>
      </c>
      <c r="K281" s="19" t="b">
        <v>1</v>
      </c>
      <c r="L281" s="15">
        <v>2013</v>
      </c>
      <c r="M281" s="16">
        <v>7000000</v>
      </c>
      <c r="N281" s="20">
        <v>41451</v>
      </c>
      <c r="O281" s="20">
        <v>41451</v>
      </c>
    </row>
    <row r="282" spans="1:15" ht="14.25">
      <c r="A282" s="17">
        <v>2013</v>
      </c>
      <c r="B282" s="18" t="s">
        <v>453</v>
      </c>
      <c r="C282" s="18" t="s">
        <v>454</v>
      </c>
      <c r="D282" s="19">
        <v>223000</v>
      </c>
      <c r="E282" s="19">
        <v>0</v>
      </c>
      <c r="F282" s="19"/>
      <c r="G282" s="19">
        <v>70</v>
      </c>
      <c r="H282" s="19" t="s">
        <v>49</v>
      </c>
      <c r="I282" s="19"/>
      <c r="J282" s="19" t="s">
        <v>50</v>
      </c>
      <c r="K282" s="19" t="b">
        <v>1</v>
      </c>
      <c r="L282" s="15">
        <v>2024</v>
      </c>
      <c r="M282" s="16">
        <v>26100000</v>
      </c>
      <c r="N282" s="20">
        <v>41451</v>
      </c>
      <c r="O282" s="20">
        <v>41451</v>
      </c>
    </row>
    <row r="283" spans="1:15" ht="14.25">
      <c r="A283" s="17">
        <v>2013</v>
      </c>
      <c r="B283" s="18" t="s">
        <v>453</v>
      </c>
      <c r="C283" s="18" t="s">
        <v>454</v>
      </c>
      <c r="D283" s="19">
        <v>223000</v>
      </c>
      <c r="E283" s="19">
        <v>0</v>
      </c>
      <c r="F283" s="19"/>
      <c r="G283" s="19">
        <v>470</v>
      </c>
      <c r="H283" s="19">
        <v>9.3</v>
      </c>
      <c r="I283" s="19" t="s">
        <v>459</v>
      </c>
      <c r="J283" s="19" t="s">
        <v>467</v>
      </c>
      <c r="K283" s="19" t="b">
        <v>1</v>
      </c>
      <c r="L283" s="15">
        <v>2018</v>
      </c>
      <c r="M283" s="16">
        <v>0.0414</v>
      </c>
      <c r="N283" s="20">
        <v>41451</v>
      </c>
      <c r="O283" s="20">
        <v>41451</v>
      </c>
    </row>
    <row r="284" spans="1:15" ht="14.25">
      <c r="A284" s="17">
        <v>2013</v>
      </c>
      <c r="B284" s="18" t="s">
        <v>453</v>
      </c>
      <c r="C284" s="18" t="s">
        <v>454</v>
      </c>
      <c r="D284" s="19">
        <v>223000</v>
      </c>
      <c r="E284" s="19">
        <v>0</v>
      </c>
      <c r="F284" s="19"/>
      <c r="G284" s="19">
        <v>100</v>
      </c>
      <c r="H284" s="19" t="s">
        <v>54</v>
      </c>
      <c r="I284" s="19"/>
      <c r="J284" s="19" t="s">
        <v>55</v>
      </c>
      <c r="K284" s="19" t="b">
        <v>1</v>
      </c>
      <c r="L284" s="15">
        <v>2018</v>
      </c>
      <c r="M284" s="16">
        <v>1660000</v>
      </c>
      <c r="N284" s="20">
        <v>41451</v>
      </c>
      <c r="O284" s="20">
        <v>41451</v>
      </c>
    </row>
    <row r="285" spans="1:15" ht="14.25">
      <c r="A285" s="17">
        <v>2013</v>
      </c>
      <c r="B285" s="18" t="s">
        <v>453</v>
      </c>
      <c r="C285" s="18" t="s">
        <v>454</v>
      </c>
      <c r="D285" s="19">
        <v>223000</v>
      </c>
      <c r="E285" s="19">
        <v>0</v>
      </c>
      <c r="F285" s="19"/>
      <c r="G285" s="19">
        <v>120</v>
      </c>
      <c r="H285" s="19">
        <v>2</v>
      </c>
      <c r="I285" s="19" t="s">
        <v>469</v>
      </c>
      <c r="J285" s="19" t="s">
        <v>21</v>
      </c>
      <c r="K285" s="19" t="b">
        <v>0</v>
      </c>
      <c r="L285" s="15">
        <v>2015</v>
      </c>
      <c r="M285" s="16">
        <v>89654325</v>
      </c>
      <c r="N285" s="20">
        <v>41451</v>
      </c>
      <c r="O285" s="20">
        <v>41451</v>
      </c>
    </row>
    <row r="286" spans="1:15" ht="14.25">
      <c r="A286" s="17">
        <v>2013</v>
      </c>
      <c r="B286" s="18" t="s">
        <v>453</v>
      </c>
      <c r="C286" s="18" t="s">
        <v>454</v>
      </c>
      <c r="D286" s="19">
        <v>223000</v>
      </c>
      <c r="E286" s="19">
        <v>0</v>
      </c>
      <c r="F286" s="19"/>
      <c r="G286" s="19">
        <v>740</v>
      </c>
      <c r="H286" s="19" t="s">
        <v>133</v>
      </c>
      <c r="I286" s="19"/>
      <c r="J286" s="19" t="s">
        <v>134</v>
      </c>
      <c r="K286" s="19" t="b">
        <v>0</v>
      </c>
      <c r="L286" s="15">
        <v>2014</v>
      </c>
      <c r="M286" s="16">
        <v>548683</v>
      </c>
      <c r="N286" s="20">
        <v>41451</v>
      </c>
      <c r="O286" s="20">
        <v>41451</v>
      </c>
    </row>
    <row r="287" spans="1:15" ht="14.25">
      <c r="A287" s="17">
        <v>2013</v>
      </c>
      <c r="B287" s="18" t="s">
        <v>453</v>
      </c>
      <c r="C287" s="18" t="s">
        <v>454</v>
      </c>
      <c r="D287" s="19">
        <v>223000</v>
      </c>
      <c r="E287" s="19">
        <v>0</v>
      </c>
      <c r="F287" s="19"/>
      <c r="G287" s="19">
        <v>670</v>
      </c>
      <c r="H287" s="19">
        <v>12.1</v>
      </c>
      <c r="I287" s="19"/>
      <c r="J287" s="19" t="s">
        <v>122</v>
      </c>
      <c r="K287" s="19" t="b">
        <v>1</v>
      </c>
      <c r="L287" s="15">
        <v>2013</v>
      </c>
      <c r="M287" s="16">
        <v>792531</v>
      </c>
      <c r="N287" s="20">
        <v>41451</v>
      </c>
      <c r="O287" s="20">
        <v>41451</v>
      </c>
    </row>
    <row r="288" spans="1:15" ht="14.25">
      <c r="A288" s="17">
        <v>2013</v>
      </c>
      <c r="B288" s="18" t="s">
        <v>453</v>
      </c>
      <c r="C288" s="18" t="s">
        <v>454</v>
      </c>
      <c r="D288" s="19">
        <v>223000</v>
      </c>
      <c r="E288" s="19">
        <v>0</v>
      </c>
      <c r="F288" s="19"/>
      <c r="G288" s="19">
        <v>190</v>
      </c>
      <c r="H288" s="19">
        <v>2.2</v>
      </c>
      <c r="I288" s="19"/>
      <c r="J288" s="19" t="s">
        <v>69</v>
      </c>
      <c r="K288" s="19" t="b">
        <v>0</v>
      </c>
      <c r="L288" s="15">
        <v>2016</v>
      </c>
      <c r="M288" s="16">
        <v>7000000</v>
      </c>
      <c r="N288" s="20">
        <v>41451</v>
      </c>
      <c r="O288" s="20">
        <v>41451</v>
      </c>
    </row>
    <row r="289" spans="1:15" ht="14.25">
      <c r="A289" s="17">
        <v>2013</v>
      </c>
      <c r="B289" s="18" t="s">
        <v>453</v>
      </c>
      <c r="C289" s="18" t="s">
        <v>454</v>
      </c>
      <c r="D289" s="19">
        <v>223000</v>
      </c>
      <c r="E289" s="19">
        <v>0</v>
      </c>
      <c r="F289" s="19"/>
      <c r="G289" s="19">
        <v>310</v>
      </c>
      <c r="H289" s="19">
        <v>5.1</v>
      </c>
      <c r="I289" s="19"/>
      <c r="J289" s="19" t="s">
        <v>81</v>
      </c>
      <c r="K289" s="19" t="b">
        <v>1</v>
      </c>
      <c r="L289" s="15">
        <v>2022</v>
      </c>
      <c r="M289" s="16">
        <v>2154468</v>
      </c>
      <c r="N289" s="20">
        <v>41451</v>
      </c>
      <c r="O289" s="20">
        <v>41451</v>
      </c>
    </row>
    <row r="290" spans="1:15" ht="14.25">
      <c r="A290" s="17">
        <v>2013</v>
      </c>
      <c r="B290" s="18" t="s">
        <v>453</v>
      </c>
      <c r="C290" s="18" t="s">
        <v>454</v>
      </c>
      <c r="D290" s="19">
        <v>223000</v>
      </c>
      <c r="E290" s="19">
        <v>0</v>
      </c>
      <c r="F290" s="19"/>
      <c r="G290" s="19">
        <v>880</v>
      </c>
      <c r="H290" s="19">
        <v>14.1</v>
      </c>
      <c r="I290" s="19"/>
      <c r="J290" s="19" t="s">
        <v>151</v>
      </c>
      <c r="K290" s="19" t="b">
        <v>1</v>
      </c>
      <c r="L290" s="15">
        <v>2024</v>
      </c>
      <c r="M290" s="16">
        <v>2154460</v>
      </c>
      <c r="N290" s="20">
        <v>41451</v>
      </c>
      <c r="O290" s="20">
        <v>41451</v>
      </c>
    </row>
    <row r="291" spans="1:15" ht="14.25">
      <c r="A291" s="17">
        <v>2013</v>
      </c>
      <c r="B291" s="18" t="s">
        <v>453</v>
      </c>
      <c r="C291" s="18" t="s">
        <v>454</v>
      </c>
      <c r="D291" s="19">
        <v>223000</v>
      </c>
      <c r="E291" s="19">
        <v>0</v>
      </c>
      <c r="F291" s="19"/>
      <c r="G291" s="19">
        <v>880</v>
      </c>
      <c r="H291" s="19">
        <v>14.1</v>
      </c>
      <c r="I291" s="19"/>
      <c r="J291" s="19" t="s">
        <v>151</v>
      </c>
      <c r="K291" s="19" t="b">
        <v>1</v>
      </c>
      <c r="L291" s="15">
        <v>2022</v>
      </c>
      <c r="M291" s="16">
        <v>2154468</v>
      </c>
      <c r="N291" s="20">
        <v>41451</v>
      </c>
      <c r="O291" s="20">
        <v>41451</v>
      </c>
    </row>
    <row r="292" spans="1:15" ht="14.25">
      <c r="A292" s="17">
        <v>2013</v>
      </c>
      <c r="B292" s="18" t="s">
        <v>453</v>
      </c>
      <c r="C292" s="18" t="s">
        <v>454</v>
      </c>
      <c r="D292" s="19">
        <v>223000</v>
      </c>
      <c r="E292" s="19">
        <v>0</v>
      </c>
      <c r="F292" s="19"/>
      <c r="G292" s="19">
        <v>40</v>
      </c>
      <c r="H292" s="19" t="s">
        <v>43</v>
      </c>
      <c r="I292" s="19"/>
      <c r="J292" s="19" t="s">
        <v>44</v>
      </c>
      <c r="K292" s="19" t="b">
        <v>1</v>
      </c>
      <c r="L292" s="15">
        <v>2018</v>
      </c>
      <c r="M292" s="16">
        <v>2650000</v>
      </c>
      <c r="N292" s="20">
        <v>41451</v>
      </c>
      <c r="O292" s="20">
        <v>41451</v>
      </c>
    </row>
    <row r="293" spans="1:15" ht="14.25">
      <c r="A293" s="17">
        <v>2013</v>
      </c>
      <c r="B293" s="18" t="s">
        <v>453</v>
      </c>
      <c r="C293" s="18" t="s">
        <v>454</v>
      </c>
      <c r="D293" s="19">
        <v>223000</v>
      </c>
      <c r="E293" s="19">
        <v>0</v>
      </c>
      <c r="F293" s="19"/>
      <c r="G293" s="19">
        <v>450</v>
      </c>
      <c r="H293" s="19">
        <v>9.1</v>
      </c>
      <c r="I293" s="19" t="s">
        <v>459</v>
      </c>
      <c r="J293" s="19" t="s">
        <v>95</v>
      </c>
      <c r="K293" s="19" t="b">
        <v>1</v>
      </c>
      <c r="L293" s="15">
        <v>2022</v>
      </c>
      <c r="M293" s="16">
        <v>0.0293</v>
      </c>
      <c r="N293" s="20">
        <v>41451</v>
      </c>
      <c r="O293" s="20">
        <v>41451</v>
      </c>
    </row>
    <row r="294" spans="1:15" ht="14.25">
      <c r="A294" s="17">
        <v>2013</v>
      </c>
      <c r="B294" s="18" t="s">
        <v>453</v>
      </c>
      <c r="C294" s="18" t="s">
        <v>454</v>
      </c>
      <c r="D294" s="19">
        <v>223000</v>
      </c>
      <c r="E294" s="19">
        <v>0</v>
      </c>
      <c r="F294" s="19"/>
      <c r="G294" s="19">
        <v>420</v>
      </c>
      <c r="H294" s="19">
        <v>8.1</v>
      </c>
      <c r="I294" s="19" t="s">
        <v>456</v>
      </c>
      <c r="J294" s="19" t="s">
        <v>93</v>
      </c>
      <c r="K294" s="19" t="b">
        <v>0</v>
      </c>
      <c r="L294" s="15">
        <v>2024</v>
      </c>
      <c r="M294" s="16">
        <v>1654460</v>
      </c>
      <c r="N294" s="20">
        <v>41451</v>
      </c>
      <c r="O294" s="20">
        <v>41451</v>
      </c>
    </row>
    <row r="295" spans="1:15" ht="14.25">
      <c r="A295" s="17">
        <v>2013</v>
      </c>
      <c r="B295" s="18" t="s">
        <v>453</v>
      </c>
      <c r="C295" s="18" t="s">
        <v>454</v>
      </c>
      <c r="D295" s="19">
        <v>223000</v>
      </c>
      <c r="E295" s="19">
        <v>0</v>
      </c>
      <c r="F295" s="19"/>
      <c r="G295" s="19">
        <v>880</v>
      </c>
      <c r="H295" s="19">
        <v>14.1</v>
      </c>
      <c r="I295" s="19"/>
      <c r="J295" s="19" t="s">
        <v>151</v>
      </c>
      <c r="K295" s="19" t="b">
        <v>1</v>
      </c>
      <c r="L295" s="15">
        <v>2019</v>
      </c>
      <c r="M295" s="16">
        <v>2501733</v>
      </c>
      <c r="N295" s="20">
        <v>41451</v>
      </c>
      <c r="O295" s="20">
        <v>41451</v>
      </c>
    </row>
    <row r="296" spans="1:15" ht="14.25">
      <c r="A296" s="17">
        <v>2013</v>
      </c>
      <c r="B296" s="18" t="s">
        <v>453</v>
      </c>
      <c r="C296" s="18" t="s">
        <v>454</v>
      </c>
      <c r="D296" s="19">
        <v>223000</v>
      </c>
      <c r="E296" s="19">
        <v>0</v>
      </c>
      <c r="F296" s="19"/>
      <c r="G296" s="19">
        <v>120</v>
      </c>
      <c r="H296" s="19">
        <v>2</v>
      </c>
      <c r="I296" s="19" t="s">
        <v>469</v>
      </c>
      <c r="J296" s="19" t="s">
        <v>21</v>
      </c>
      <c r="K296" s="19" t="b">
        <v>0</v>
      </c>
      <c r="L296" s="15">
        <v>2022</v>
      </c>
      <c r="M296" s="16">
        <v>83658813</v>
      </c>
      <c r="N296" s="20">
        <v>41451</v>
      </c>
      <c r="O296" s="20">
        <v>41451</v>
      </c>
    </row>
    <row r="297" spans="1:15" ht="14.25">
      <c r="A297" s="17">
        <v>2013</v>
      </c>
      <c r="B297" s="18" t="s">
        <v>453</v>
      </c>
      <c r="C297" s="18" t="s">
        <v>454</v>
      </c>
      <c r="D297" s="19">
        <v>223000</v>
      </c>
      <c r="E297" s="19">
        <v>0</v>
      </c>
      <c r="F297" s="19"/>
      <c r="G297" s="19">
        <v>20</v>
      </c>
      <c r="H297" s="19">
        <v>1.1</v>
      </c>
      <c r="I297" s="19"/>
      <c r="J297" s="19" t="s">
        <v>40</v>
      </c>
      <c r="K297" s="19" t="b">
        <v>1</v>
      </c>
      <c r="L297" s="15">
        <v>2015</v>
      </c>
      <c r="M297" s="16">
        <v>78556058</v>
      </c>
      <c r="N297" s="20">
        <v>41451</v>
      </c>
      <c r="O297" s="20">
        <v>41451</v>
      </c>
    </row>
    <row r="298" spans="1:15" ht="14.25">
      <c r="A298" s="17">
        <v>2013</v>
      </c>
      <c r="B298" s="18" t="s">
        <v>453</v>
      </c>
      <c r="C298" s="18" t="s">
        <v>454</v>
      </c>
      <c r="D298" s="19">
        <v>223000</v>
      </c>
      <c r="E298" s="19">
        <v>0</v>
      </c>
      <c r="F298" s="19"/>
      <c r="G298" s="19">
        <v>880</v>
      </c>
      <c r="H298" s="19">
        <v>14.1</v>
      </c>
      <c r="I298" s="19"/>
      <c r="J298" s="19" t="s">
        <v>151</v>
      </c>
      <c r="K298" s="19" t="b">
        <v>1</v>
      </c>
      <c r="L298" s="15">
        <v>2017</v>
      </c>
      <c r="M298" s="16">
        <v>2501733</v>
      </c>
      <c r="N298" s="20">
        <v>41451</v>
      </c>
      <c r="O298" s="20">
        <v>41451</v>
      </c>
    </row>
    <row r="299" spans="1:15" ht="14.25">
      <c r="A299" s="17">
        <v>2013</v>
      </c>
      <c r="B299" s="18" t="s">
        <v>453</v>
      </c>
      <c r="C299" s="18" t="s">
        <v>454</v>
      </c>
      <c r="D299" s="19">
        <v>223000</v>
      </c>
      <c r="E299" s="19">
        <v>0</v>
      </c>
      <c r="F299" s="19"/>
      <c r="G299" s="19">
        <v>40</v>
      </c>
      <c r="H299" s="19" t="s">
        <v>43</v>
      </c>
      <c r="I299" s="19"/>
      <c r="J299" s="19" t="s">
        <v>44</v>
      </c>
      <c r="K299" s="19" t="b">
        <v>1</v>
      </c>
      <c r="L299" s="15">
        <v>2025</v>
      </c>
      <c r="M299" s="16">
        <v>3000000</v>
      </c>
      <c r="N299" s="20">
        <v>41451</v>
      </c>
      <c r="O299" s="20">
        <v>41451</v>
      </c>
    </row>
    <row r="300" spans="1:15" ht="14.25">
      <c r="A300" s="17">
        <v>2013</v>
      </c>
      <c r="B300" s="18" t="s">
        <v>453</v>
      </c>
      <c r="C300" s="18" t="s">
        <v>454</v>
      </c>
      <c r="D300" s="19">
        <v>223000</v>
      </c>
      <c r="E300" s="19">
        <v>0</v>
      </c>
      <c r="F300" s="19"/>
      <c r="G300" s="19">
        <v>130</v>
      </c>
      <c r="H300" s="19">
        <v>2.1</v>
      </c>
      <c r="I300" s="19"/>
      <c r="J300" s="19" t="s">
        <v>58</v>
      </c>
      <c r="K300" s="19" t="b">
        <v>1</v>
      </c>
      <c r="L300" s="15">
        <v>2018</v>
      </c>
      <c r="M300" s="16">
        <v>79187735</v>
      </c>
      <c r="N300" s="20">
        <v>41451</v>
      </c>
      <c r="O300" s="20">
        <v>41451</v>
      </c>
    </row>
    <row r="301" spans="1:15" ht="14.25">
      <c r="A301" s="17">
        <v>2013</v>
      </c>
      <c r="B301" s="18" t="s">
        <v>453</v>
      </c>
      <c r="C301" s="18" t="s">
        <v>454</v>
      </c>
      <c r="D301" s="19">
        <v>223000</v>
      </c>
      <c r="E301" s="19">
        <v>0</v>
      </c>
      <c r="F301" s="19"/>
      <c r="G301" s="19">
        <v>100</v>
      </c>
      <c r="H301" s="19" t="s">
        <v>54</v>
      </c>
      <c r="I301" s="19"/>
      <c r="J301" s="19" t="s">
        <v>55</v>
      </c>
      <c r="K301" s="19" t="b">
        <v>1</v>
      </c>
      <c r="L301" s="15">
        <v>2017</v>
      </c>
      <c r="M301" s="16">
        <v>1660000</v>
      </c>
      <c r="N301" s="20">
        <v>41451</v>
      </c>
      <c r="O301" s="20">
        <v>41451</v>
      </c>
    </row>
    <row r="302" spans="1:15" ht="14.25">
      <c r="A302" s="17">
        <v>2013</v>
      </c>
      <c r="B302" s="18" t="s">
        <v>453</v>
      </c>
      <c r="C302" s="18" t="s">
        <v>454</v>
      </c>
      <c r="D302" s="19">
        <v>223000</v>
      </c>
      <c r="E302" s="19">
        <v>0</v>
      </c>
      <c r="F302" s="19"/>
      <c r="G302" s="19">
        <v>120</v>
      </c>
      <c r="H302" s="19">
        <v>2</v>
      </c>
      <c r="I302" s="19" t="s">
        <v>469</v>
      </c>
      <c r="J302" s="19" t="s">
        <v>21</v>
      </c>
      <c r="K302" s="19" t="b">
        <v>0</v>
      </c>
      <c r="L302" s="15">
        <v>2025</v>
      </c>
      <c r="M302" s="16">
        <v>88160000</v>
      </c>
      <c r="N302" s="20">
        <v>41451</v>
      </c>
      <c r="O302" s="20">
        <v>41451</v>
      </c>
    </row>
    <row r="303" spans="1:15" ht="14.25">
      <c r="A303" s="17">
        <v>2013</v>
      </c>
      <c r="B303" s="18" t="s">
        <v>453</v>
      </c>
      <c r="C303" s="18" t="s">
        <v>454</v>
      </c>
      <c r="D303" s="19">
        <v>223000</v>
      </c>
      <c r="E303" s="19">
        <v>0</v>
      </c>
      <c r="F303" s="19"/>
      <c r="G303" s="19">
        <v>420</v>
      </c>
      <c r="H303" s="19">
        <v>8.1</v>
      </c>
      <c r="I303" s="19" t="s">
        <v>456</v>
      </c>
      <c r="J303" s="19" t="s">
        <v>93</v>
      </c>
      <c r="K303" s="19" t="b">
        <v>0</v>
      </c>
      <c r="L303" s="15">
        <v>2016</v>
      </c>
      <c r="M303" s="16">
        <v>2001733</v>
      </c>
      <c r="N303" s="20">
        <v>41451</v>
      </c>
      <c r="O303" s="20">
        <v>41451</v>
      </c>
    </row>
    <row r="304" spans="1:15" ht="14.25">
      <c r="A304" s="17">
        <v>2013</v>
      </c>
      <c r="B304" s="18" t="s">
        <v>453</v>
      </c>
      <c r="C304" s="18" t="s">
        <v>454</v>
      </c>
      <c r="D304" s="19">
        <v>223000</v>
      </c>
      <c r="E304" s="19">
        <v>0</v>
      </c>
      <c r="F304" s="19"/>
      <c r="G304" s="19">
        <v>100</v>
      </c>
      <c r="H304" s="19" t="s">
        <v>54</v>
      </c>
      <c r="I304" s="19"/>
      <c r="J304" s="19" t="s">
        <v>55</v>
      </c>
      <c r="K304" s="19" t="b">
        <v>1</v>
      </c>
      <c r="L304" s="15">
        <v>2016</v>
      </c>
      <c r="M304" s="16">
        <v>7500000</v>
      </c>
      <c r="N304" s="20">
        <v>41451</v>
      </c>
      <c r="O304" s="20">
        <v>41451</v>
      </c>
    </row>
    <row r="305" spans="1:15" ht="14.25">
      <c r="A305" s="17">
        <v>2013</v>
      </c>
      <c r="B305" s="18" t="s">
        <v>453</v>
      </c>
      <c r="C305" s="18" t="s">
        <v>454</v>
      </c>
      <c r="D305" s="19">
        <v>223000</v>
      </c>
      <c r="E305" s="19">
        <v>0</v>
      </c>
      <c r="F305" s="19"/>
      <c r="G305" s="19">
        <v>520</v>
      </c>
      <c r="H305" s="19" t="s">
        <v>103</v>
      </c>
      <c r="I305" s="19"/>
      <c r="J305" s="19" t="s">
        <v>470</v>
      </c>
      <c r="K305" s="19" t="b">
        <v>1</v>
      </c>
      <c r="L305" s="15">
        <v>2024</v>
      </c>
      <c r="M305" s="16">
        <v>0.0341</v>
      </c>
      <c r="N305" s="20">
        <v>41451</v>
      </c>
      <c r="O305" s="20">
        <v>41451</v>
      </c>
    </row>
    <row r="306" spans="1:15" ht="14.25">
      <c r="A306" s="17">
        <v>2013</v>
      </c>
      <c r="B306" s="18" t="s">
        <v>453</v>
      </c>
      <c r="C306" s="18" t="s">
        <v>454</v>
      </c>
      <c r="D306" s="19">
        <v>223000</v>
      </c>
      <c r="E306" s="19">
        <v>0</v>
      </c>
      <c r="F306" s="19"/>
      <c r="G306" s="19">
        <v>590</v>
      </c>
      <c r="H306" s="19">
        <v>11.2</v>
      </c>
      <c r="I306" s="19"/>
      <c r="J306" s="19" t="s">
        <v>112</v>
      </c>
      <c r="K306" s="19" t="b">
        <v>1</v>
      </c>
      <c r="L306" s="15">
        <v>2026</v>
      </c>
      <c r="M306" s="16">
        <v>13000000</v>
      </c>
      <c r="N306" s="20">
        <v>41451</v>
      </c>
      <c r="O306" s="20">
        <v>41451</v>
      </c>
    </row>
    <row r="307" spans="1:15" ht="14.25">
      <c r="A307" s="17">
        <v>2013</v>
      </c>
      <c r="B307" s="18" t="s">
        <v>453</v>
      </c>
      <c r="C307" s="18" t="s">
        <v>454</v>
      </c>
      <c r="D307" s="19">
        <v>223000</v>
      </c>
      <c r="E307" s="19">
        <v>0</v>
      </c>
      <c r="F307" s="19"/>
      <c r="G307" s="19">
        <v>200</v>
      </c>
      <c r="H307" s="19">
        <v>3</v>
      </c>
      <c r="I307" s="19" t="s">
        <v>455</v>
      </c>
      <c r="J307" s="19" t="s">
        <v>23</v>
      </c>
      <c r="K307" s="19" t="b">
        <v>0</v>
      </c>
      <c r="L307" s="15">
        <v>2025</v>
      </c>
      <c r="M307" s="16">
        <v>500000</v>
      </c>
      <c r="N307" s="20">
        <v>41451</v>
      </c>
      <c r="O307" s="20">
        <v>41451</v>
      </c>
    </row>
    <row r="308" spans="1:15" ht="14.25">
      <c r="A308" s="17">
        <v>2013</v>
      </c>
      <c r="B308" s="18" t="s">
        <v>453</v>
      </c>
      <c r="C308" s="18" t="s">
        <v>454</v>
      </c>
      <c r="D308" s="19">
        <v>223000</v>
      </c>
      <c r="E308" s="19">
        <v>0</v>
      </c>
      <c r="F308" s="19"/>
      <c r="G308" s="19">
        <v>20</v>
      </c>
      <c r="H308" s="19">
        <v>1.1</v>
      </c>
      <c r="I308" s="19"/>
      <c r="J308" s="19" t="s">
        <v>40</v>
      </c>
      <c r="K308" s="19" t="b">
        <v>1</v>
      </c>
      <c r="L308" s="15">
        <v>2021</v>
      </c>
      <c r="M308" s="16">
        <v>84061748</v>
      </c>
      <c r="N308" s="20">
        <v>41451</v>
      </c>
      <c r="O308" s="20">
        <v>41451</v>
      </c>
    </row>
    <row r="309" spans="1:15" ht="14.25">
      <c r="A309" s="17">
        <v>2013</v>
      </c>
      <c r="B309" s="18" t="s">
        <v>453</v>
      </c>
      <c r="C309" s="18" t="s">
        <v>454</v>
      </c>
      <c r="D309" s="19">
        <v>223000</v>
      </c>
      <c r="E309" s="19">
        <v>0</v>
      </c>
      <c r="F309" s="19"/>
      <c r="G309" s="19">
        <v>50</v>
      </c>
      <c r="H309" s="19" t="s">
        <v>45</v>
      </c>
      <c r="I309" s="19"/>
      <c r="J309" s="19" t="s">
        <v>46</v>
      </c>
      <c r="K309" s="19" t="b">
        <v>1</v>
      </c>
      <c r="L309" s="15">
        <v>2017</v>
      </c>
      <c r="M309" s="16">
        <v>7250000</v>
      </c>
      <c r="N309" s="20">
        <v>41451</v>
      </c>
      <c r="O309" s="20">
        <v>41451</v>
      </c>
    </row>
    <row r="310" spans="1:15" ht="14.25">
      <c r="A310" s="17">
        <v>2013</v>
      </c>
      <c r="B310" s="18" t="s">
        <v>453</v>
      </c>
      <c r="C310" s="18" t="s">
        <v>454</v>
      </c>
      <c r="D310" s="19">
        <v>223000</v>
      </c>
      <c r="E310" s="19">
        <v>0</v>
      </c>
      <c r="F310" s="19"/>
      <c r="G310" s="19">
        <v>530</v>
      </c>
      <c r="H310" s="19">
        <v>9.8</v>
      </c>
      <c r="I310" s="19" t="s">
        <v>462</v>
      </c>
      <c r="J310" s="19" t="s">
        <v>105</v>
      </c>
      <c r="K310" s="19" t="b">
        <v>0</v>
      </c>
      <c r="L310" s="15">
        <v>2015</v>
      </c>
      <c r="M310" s="16">
        <v>1189</v>
      </c>
      <c r="N310" s="20">
        <v>41451</v>
      </c>
      <c r="O310" s="20">
        <v>41451</v>
      </c>
    </row>
    <row r="311" spans="1:15" ht="14.25">
      <c r="A311" s="17">
        <v>2013</v>
      </c>
      <c r="B311" s="18" t="s">
        <v>453</v>
      </c>
      <c r="C311" s="18" t="s">
        <v>454</v>
      </c>
      <c r="D311" s="19">
        <v>223000</v>
      </c>
      <c r="E311" s="19">
        <v>0</v>
      </c>
      <c r="F311" s="19"/>
      <c r="G311" s="19">
        <v>590</v>
      </c>
      <c r="H311" s="19">
        <v>11.2</v>
      </c>
      <c r="I311" s="19"/>
      <c r="J311" s="19" t="s">
        <v>112</v>
      </c>
      <c r="K311" s="19" t="b">
        <v>1</v>
      </c>
      <c r="L311" s="15">
        <v>2013</v>
      </c>
      <c r="M311" s="16">
        <v>11814217</v>
      </c>
      <c r="N311" s="20">
        <v>41451</v>
      </c>
      <c r="O311" s="20">
        <v>41451</v>
      </c>
    </row>
    <row r="312" spans="1:15" ht="14.25">
      <c r="A312" s="17">
        <v>2013</v>
      </c>
      <c r="B312" s="18" t="s">
        <v>453</v>
      </c>
      <c r="C312" s="18" t="s">
        <v>454</v>
      </c>
      <c r="D312" s="19">
        <v>223000</v>
      </c>
      <c r="E312" s="19">
        <v>0</v>
      </c>
      <c r="F312" s="19"/>
      <c r="G312" s="19">
        <v>50</v>
      </c>
      <c r="H312" s="19" t="s">
        <v>45</v>
      </c>
      <c r="I312" s="19"/>
      <c r="J312" s="19" t="s">
        <v>46</v>
      </c>
      <c r="K312" s="19" t="b">
        <v>1</v>
      </c>
      <c r="L312" s="15">
        <v>2023</v>
      </c>
      <c r="M312" s="16">
        <v>7550000</v>
      </c>
      <c r="N312" s="20">
        <v>41451</v>
      </c>
      <c r="O312" s="20">
        <v>41451</v>
      </c>
    </row>
    <row r="313" spans="1:15" ht="14.25">
      <c r="A313" s="17">
        <v>2013</v>
      </c>
      <c r="B313" s="18" t="s">
        <v>453</v>
      </c>
      <c r="C313" s="18" t="s">
        <v>454</v>
      </c>
      <c r="D313" s="19">
        <v>223000</v>
      </c>
      <c r="E313" s="19">
        <v>0</v>
      </c>
      <c r="F313" s="19"/>
      <c r="G313" s="19">
        <v>200</v>
      </c>
      <c r="H313" s="19">
        <v>3</v>
      </c>
      <c r="I313" s="19" t="s">
        <v>455</v>
      </c>
      <c r="J313" s="19" t="s">
        <v>23</v>
      </c>
      <c r="K313" s="19" t="b">
        <v>0</v>
      </c>
      <c r="L313" s="15">
        <v>2021</v>
      </c>
      <c r="M313" s="16">
        <v>2501731</v>
      </c>
      <c r="N313" s="20">
        <v>41451</v>
      </c>
      <c r="O313" s="20">
        <v>41451</v>
      </c>
    </row>
    <row r="314" spans="1:15" ht="14.25">
      <c r="A314" s="17">
        <v>2013</v>
      </c>
      <c r="B314" s="18" t="s">
        <v>453</v>
      </c>
      <c r="C314" s="18" t="s">
        <v>454</v>
      </c>
      <c r="D314" s="19">
        <v>223000</v>
      </c>
      <c r="E314" s="19">
        <v>0</v>
      </c>
      <c r="F314" s="19"/>
      <c r="G314" s="19">
        <v>90</v>
      </c>
      <c r="H314" s="19">
        <v>1.2</v>
      </c>
      <c r="I314" s="19"/>
      <c r="J314" s="19" t="s">
        <v>53</v>
      </c>
      <c r="K314" s="19" t="b">
        <v>1</v>
      </c>
      <c r="L314" s="15">
        <v>2013</v>
      </c>
      <c r="M314" s="16">
        <v>24092828</v>
      </c>
      <c r="N314" s="20">
        <v>41451</v>
      </c>
      <c r="O314" s="20">
        <v>41451</v>
      </c>
    </row>
    <row r="315" spans="1:15" ht="14.25">
      <c r="A315" s="17">
        <v>2013</v>
      </c>
      <c r="B315" s="18" t="s">
        <v>453</v>
      </c>
      <c r="C315" s="18" t="s">
        <v>454</v>
      </c>
      <c r="D315" s="19">
        <v>223000</v>
      </c>
      <c r="E315" s="19">
        <v>0</v>
      </c>
      <c r="F315" s="19"/>
      <c r="G315" s="19">
        <v>10</v>
      </c>
      <c r="H315" s="19">
        <v>1</v>
      </c>
      <c r="I315" s="19" t="s">
        <v>457</v>
      </c>
      <c r="J315" s="19" t="s">
        <v>26</v>
      </c>
      <c r="K315" s="19" t="b">
        <v>1</v>
      </c>
      <c r="L315" s="15">
        <v>2025</v>
      </c>
      <c r="M315" s="16">
        <v>88660000</v>
      </c>
      <c r="N315" s="20">
        <v>41451</v>
      </c>
      <c r="O315" s="20">
        <v>41451</v>
      </c>
    </row>
    <row r="316" spans="1:15" ht="14.25">
      <c r="A316" s="17">
        <v>2013</v>
      </c>
      <c r="B316" s="18" t="s">
        <v>453</v>
      </c>
      <c r="C316" s="18" t="s">
        <v>454</v>
      </c>
      <c r="D316" s="19">
        <v>223000</v>
      </c>
      <c r="E316" s="19">
        <v>0</v>
      </c>
      <c r="F316" s="19"/>
      <c r="G316" s="19">
        <v>100</v>
      </c>
      <c r="H316" s="19" t="s">
        <v>54</v>
      </c>
      <c r="I316" s="19"/>
      <c r="J316" s="19" t="s">
        <v>55</v>
      </c>
      <c r="K316" s="19" t="b">
        <v>1</v>
      </c>
      <c r="L316" s="15">
        <v>2014</v>
      </c>
      <c r="M316" s="16">
        <v>20119922</v>
      </c>
      <c r="N316" s="20">
        <v>41451</v>
      </c>
      <c r="O316" s="20">
        <v>41451</v>
      </c>
    </row>
    <row r="317" spans="1:15" ht="14.25">
      <c r="A317" s="17">
        <v>2013</v>
      </c>
      <c r="B317" s="18" t="s">
        <v>453</v>
      </c>
      <c r="C317" s="18" t="s">
        <v>454</v>
      </c>
      <c r="D317" s="19">
        <v>223000</v>
      </c>
      <c r="E317" s="19">
        <v>0</v>
      </c>
      <c r="F317" s="19"/>
      <c r="G317" s="19">
        <v>510</v>
      </c>
      <c r="H317" s="19">
        <v>9.7</v>
      </c>
      <c r="I317" s="19"/>
      <c r="J317" s="19" t="s">
        <v>473</v>
      </c>
      <c r="K317" s="19" t="b">
        <v>1</v>
      </c>
      <c r="L317" s="15">
        <v>2022</v>
      </c>
      <c r="M317" s="16">
        <v>0.0375</v>
      </c>
      <c r="N317" s="20">
        <v>41451</v>
      </c>
      <c r="O317" s="20">
        <v>41451</v>
      </c>
    </row>
    <row r="318" spans="1:15" ht="14.25">
      <c r="A318" s="17">
        <v>2013</v>
      </c>
      <c r="B318" s="18" t="s">
        <v>453</v>
      </c>
      <c r="C318" s="18" t="s">
        <v>454</v>
      </c>
      <c r="D318" s="19">
        <v>223000</v>
      </c>
      <c r="E318" s="19">
        <v>0</v>
      </c>
      <c r="F318" s="19"/>
      <c r="G318" s="19">
        <v>480</v>
      </c>
      <c r="H318" s="19">
        <v>9.4</v>
      </c>
      <c r="I318" s="19" t="s">
        <v>461</v>
      </c>
      <c r="J318" s="19" t="s">
        <v>97</v>
      </c>
      <c r="K318" s="19" t="b">
        <v>0</v>
      </c>
      <c r="L318" s="15">
        <v>2019</v>
      </c>
      <c r="M318" s="16">
        <v>0.0395</v>
      </c>
      <c r="N318" s="20">
        <v>41451</v>
      </c>
      <c r="O318" s="20">
        <v>41451</v>
      </c>
    </row>
    <row r="319" spans="1:15" ht="14.25">
      <c r="A319" s="17">
        <v>2013</v>
      </c>
      <c r="B319" s="18" t="s">
        <v>453</v>
      </c>
      <c r="C319" s="18" t="s">
        <v>454</v>
      </c>
      <c r="D319" s="19">
        <v>223000</v>
      </c>
      <c r="E319" s="19">
        <v>0</v>
      </c>
      <c r="F319" s="19"/>
      <c r="G319" s="19">
        <v>20</v>
      </c>
      <c r="H319" s="19">
        <v>1.1</v>
      </c>
      <c r="I319" s="19"/>
      <c r="J319" s="19" t="s">
        <v>40</v>
      </c>
      <c r="K319" s="19" t="b">
        <v>1</v>
      </c>
      <c r="L319" s="15">
        <v>2020</v>
      </c>
      <c r="M319" s="16">
        <v>83120681</v>
      </c>
      <c r="N319" s="20">
        <v>41451</v>
      </c>
      <c r="O319" s="20">
        <v>41451</v>
      </c>
    </row>
    <row r="320" spans="1:15" ht="14.25">
      <c r="A320" s="17">
        <v>2013</v>
      </c>
      <c r="B320" s="18" t="s">
        <v>453</v>
      </c>
      <c r="C320" s="18" t="s">
        <v>454</v>
      </c>
      <c r="D320" s="19">
        <v>223000</v>
      </c>
      <c r="E320" s="19">
        <v>0</v>
      </c>
      <c r="F320" s="19"/>
      <c r="G320" s="19">
        <v>50</v>
      </c>
      <c r="H320" s="19" t="s">
        <v>45</v>
      </c>
      <c r="I320" s="19"/>
      <c r="J320" s="19" t="s">
        <v>46</v>
      </c>
      <c r="K320" s="19" t="b">
        <v>1</v>
      </c>
      <c r="L320" s="15">
        <v>2019</v>
      </c>
      <c r="M320" s="16">
        <v>7350000</v>
      </c>
      <c r="N320" s="20">
        <v>41451</v>
      </c>
      <c r="O320" s="20">
        <v>41451</v>
      </c>
    </row>
    <row r="321" spans="1:15" ht="14.25">
      <c r="A321" s="17">
        <v>2013</v>
      </c>
      <c r="B321" s="18" t="s">
        <v>453</v>
      </c>
      <c r="C321" s="18" t="s">
        <v>454</v>
      </c>
      <c r="D321" s="19">
        <v>223000</v>
      </c>
      <c r="E321" s="19">
        <v>0</v>
      </c>
      <c r="F321" s="19"/>
      <c r="G321" s="19">
        <v>880</v>
      </c>
      <c r="H321" s="19">
        <v>14.1</v>
      </c>
      <c r="I321" s="19"/>
      <c r="J321" s="19" t="s">
        <v>151</v>
      </c>
      <c r="K321" s="19" t="b">
        <v>1</v>
      </c>
      <c r="L321" s="15">
        <v>2018</v>
      </c>
      <c r="M321" s="16">
        <v>2501733</v>
      </c>
      <c r="N321" s="20">
        <v>41451</v>
      </c>
      <c r="O321" s="20">
        <v>41451</v>
      </c>
    </row>
    <row r="322" spans="1:15" ht="14.25">
      <c r="A322" s="17">
        <v>2013</v>
      </c>
      <c r="B322" s="18" t="s">
        <v>453</v>
      </c>
      <c r="C322" s="18" t="s">
        <v>454</v>
      </c>
      <c r="D322" s="19">
        <v>223000</v>
      </c>
      <c r="E322" s="19">
        <v>0</v>
      </c>
      <c r="F322" s="19"/>
      <c r="G322" s="19">
        <v>120</v>
      </c>
      <c r="H322" s="19">
        <v>2</v>
      </c>
      <c r="I322" s="19" t="s">
        <v>469</v>
      </c>
      <c r="J322" s="19" t="s">
        <v>21</v>
      </c>
      <c r="K322" s="19" t="b">
        <v>0</v>
      </c>
      <c r="L322" s="15">
        <v>2017</v>
      </c>
      <c r="M322" s="16">
        <v>79453580</v>
      </c>
      <c r="N322" s="20">
        <v>41451</v>
      </c>
      <c r="O322" s="20">
        <v>41451</v>
      </c>
    </row>
    <row r="323" spans="1:15" ht="14.25">
      <c r="A323" s="17">
        <v>2013</v>
      </c>
      <c r="B323" s="18" t="s">
        <v>453</v>
      </c>
      <c r="C323" s="18" t="s">
        <v>454</v>
      </c>
      <c r="D323" s="19">
        <v>223000</v>
      </c>
      <c r="E323" s="19">
        <v>0</v>
      </c>
      <c r="F323" s="19"/>
      <c r="G323" s="19">
        <v>10</v>
      </c>
      <c r="H323" s="19">
        <v>1</v>
      </c>
      <c r="I323" s="19" t="s">
        <v>457</v>
      </c>
      <c r="J323" s="19" t="s">
        <v>26</v>
      </c>
      <c r="K323" s="19" t="b">
        <v>1</v>
      </c>
      <c r="L323" s="15">
        <v>2016</v>
      </c>
      <c r="M323" s="16">
        <v>86856470</v>
      </c>
      <c r="N323" s="20">
        <v>41451</v>
      </c>
      <c r="O323" s="20">
        <v>41451</v>
      </c>
    </row>
    <row r="324" spans="1:15" ht="14.25">
      <c r="A324" s="17">
        <v>2013</v>
      </c>
      <c r="B324" s="18" t="s">
        <v>453</v>
      </c>
      <c r="C324" s="18" t="s">
        <v>454</v>
      </c>
      <c r="D324" s="19">
        <v>223000</v>
      </c>
      <c r="E324" s="19">
        <v>0</v>
      </c>
      <c r="F324" s="19"/>
      <c r="G324" s="19">
        <v>120</v>
      </c>
      <c r="H324" s="19">
        <v>2</v>
      </c>
      <c r="I324" s="19" t="s">
        <v>469</v>
      </c>
      <c r="J324" s="19" t="s">
        <v>21</v>
      </c>
      <c r="K324" s="19" t="b">
        <v>0</v>
      </c>
      <c r="L324" s="15">
        <v>2014</v>
      </c>
      <c r="M324" s="16">
        <v>93048907</v>
      </c>
      <c r="N324" s="20">
        <v>41451</v>
      </c>
      <c r="O324" s="20">
        <v>41451</v>
      </c>
    </row>
    <row r="325" spans="1:15" ht="14.25">
      <c r="A325" s="17">
        <v>2013</v>
      </c>
      <c r="B325" s="18" t="s">
        <v>453</v>
      </c>
      <c r="C325" s="18" t="s">
        <v>454</v>
      </c>
      <c r="D325" s="19">
        <v>223000</v>
      </c>
      <c r="E325" s="19">
        <v>0</v>
      </c>
      <c r="F325" s="19"/>
      <c r="G325" s="19">
        <v>40</v>
      </c>
      <c r="H325" s="19" t="s">
        <v>43</v>
      </c>
      <c r="I325" s="19"/>
      <c r="J325" s="19" t="s">
        <v>44</v>
      </c>
      <c r="K325" s="19" t="b">
        <v>1</v>
      </c>
      <c r="L325" s="15">
        <v>2016</v>
      </c>
      <c r="M325" s="16">
        <v>2550000</v>
      </c>
      <c r="N325" s="20">
        <v>41451</v>
      </c>
      <c r="O325" s="20">
        <v>41451</v>
      </c>
    </row>
    <row r="326" spans="1:15" ht="14.25">
      <c r="A326" s="17">
        <v>2013</v>
      </c>
      <c r="B326" s="18" t="s">
        <v>453</v>
      </c>
      <c r="C326" s="18" t="s">
        <v>454</v>
      </c>
      <c r="D326" s="19">
        <v>223000</v>
      </c>
      <c r="E326" s="19">
        <v>0</v>
      </c>
      <c r="F326" s="19"/>
      <c r="G326" s="19">
        <v>550</v>
      </c>
      <c r="H326" s="19">
        <v>10</v>
      </c>
      <c r="I326" s="19"/>
      <c r="J326" s="19" t="s">
        <v>108</v>
      </c>
      <c r="K326" s="19" t="b">
        <v>0</v>
      </c>
      <c r="L326" s="15">
        <v>2022</v>
      </c>
      <c r="M326" s="16">
        <v>2154468</v>
      </c>
      <c r="N326" s="20">
        <v>41451</v>
      </c>
      <c r="O326" s="20">
        <v>41451</v>
      </c>
    </row>
    <row r="327" spans="1:15" ht="14.25">
      <c r="A327" s="17">
        <v>2013</v>
      </c>
      <c r="B327" s="18" t="s">
        <v>453</v>
      </c>
      <c r="C327" s="18" t="s">
        <v>454</v>
      </c>
      <c r="D327" s="19">
        <v>223000</v>
      </c>
      <c r="E327" s="19">
        <v>0</v>
      </c>
      <c r="F327" s="19"/>
      <c r="G327" s="19">
        <v>530</v>
      </c>
      <c r="H327" s="19">
        <v>9.8</v>
      </c>
      <c r="I327" s="19" t="s">
        <v>462</v>
      </c>
      <c r="J327" s="19" t="s">
        <v>105</v>
      </c>
      <c r="K327" s="19" t="b">
        <v>0</v>
      </c>
      <c r="L327" s="15">
        <v>2018</v>
      </c>
      <c r="M327" s="16">
        <v>668</v>
      </c>
      <c r="N327" s="20">
        <v>41451</v>
      </c>
      <c r="O327" s="20">
        <v>41451</v>
      </c>
    </row>
    <row r="328" spans="1:15" ht="14.25">
      <c r="A328" s="17">
        <v>2013</v>
      </c>
      <c r="B328" s="18" t="s">
        <v>453</v>
      </c>
      <c r="C328" s="18" t="s">
        <v>454</v>
      </c>
      <c r="D328" s="19">
        <v>223000</v>
      </c>
      <c r="E328" s="19">
        <v>0</v>
      </c>
      <c r="F328" s="19"/>
      <c r="G328" s="19">
        <v>760</v>
      </c>
      <c r="H328" s="19">
        <v>12.4</v>
      </c>
      <c r="I328" s="19"/>
      <c r="J328" s="19" t="s">
        <v>137</v>
      </c>
      <c r="K328" s="19" t="b">
        <v>1</v>
      </c>
      <c r="L328" s="15">
        <v>2013</v>
      </c>
      <c r="M328" s="16">
        <v>256273</v>
      </c>
      <c r="N328" s="20">
        <v>41451</v>
      </c>
      <c r="O328" s="20">
        <v>41451</v>
      </c>
    </row>
    <row r="329" spans="1:15" ht="14.25">
      <c r="A329" s="17">
        <v>2013</v>
      </c>
      <c r="B329" s="18" t="s">
        <v>453</v>
      </c>
      <c r="C329" s="18" t="s">
        <v>454</v>
      </c>
      <c r="D329" s="19">
        <v>223000</v>
      </c>
      <c r="E329" s="19">
        <v>0</v>
      </c>
      <c r="F329" s="19"/>
      <c r="G329" s="19">
        <v>520</v>
      </c>
      <c r="H329" s="19" t="s">
        <v>103</v>
      </c>
      <c r="I329" s="19"/>
      <c r="J329" s="19" t="s">
        <v>470</v>
      </c>
      <c r="K329" s="19" t="b">
        <v>1</v>
      </c>
      <c r="L329" s="15">
        <v>2017</v>
      </c>
      <c r="M329" s="16">
        <v>0.1625</v>
      </c>
      <c r="N329" s="20">
        <v>41451</v>
      </c>
      <c r="O329" s="20">
        <v>41451</v>
      </c>
    </row>
    <row r="330" spans="1:15" ht="14.25">
      <c r="A330" s="17">
        <v>2013</v>
      </c>
      <c r="B330" s="18" t="s">
        <v>453</v>
      </c>
      <c r="C330" s="18" t="s">
        <v>454</v>
      </c>
      <c r="D330" s="19">
        <v>223000</v>
      </c>
      <c r="E330" s="19">
        <v>0</v>
      </c>
      <c r="F330" s="19"/>
      <c r="G330" s="19">
        <v>190</v>
      </c>
      <c r="H330" s="19">
        <v>2.2</v>
      </c>
      <c r="I330" s="19"/>
      <c r="J330" s="19" t="s">
        <v>69</v>
      </c>
      <c r="K330" s="19" t="b">
        <v>0</v>
      </c>
      <c r="L330" s="15">
        <v>2015</v>
      </c>
      <c r="M330" s="16">
        <v>13202403</v>
      </c>
      <c r="N330" s="20">
        <v>41451</v>
      </c>
      <c r="O330" s="20">
        <v>41451</v>
      </c>
    </row>
    <row r="331" spans="1:15" ht="14.25">
      <c r="A331" s="17">
        <v>2013</v>
      </c>
      <c r="B331" s="18" t="s">
        <v>453</v>
      </c>
      <c r="C331" s="18" t="s">
        <v>454</v>
      </c>
      <c r="D331" s="19">
        <v>223000</v>
      </c>
      <c r="E331" s="19">
        <v>0</v>
      </c>
      <c r="F331" s="19"/>
      <c r="G331" s="19">
        <v>40</v>
      </c>
      <c r="H331" s="19" t="s">
        <v>43</v>
      </c>
      <c r="I331" s="19"/>
      <c r="J331" s="19" t="s">
        <v>44</v>
      </c>
      <c r="K331" s="19" t="b">
        <v>1</v>
      </c>
      <c r="L331" s="15">
        <v>2020</v>
      </c>
      <c r="M331" s="16">
        <v>2750000</v>
      </c>
      <c r="N331" s="20">
        <v>41451</v>
      </c>
      <c r="O331" s="20">
        <v>41451</v>
      </c>
    </row>
    <row r="332" spans="1:15" ht="14.25">
      <c r="A332" s="17">
        <v>2013</v>
      </c>
      <c r="B332" s="18" t="s">
        <v>453</v>
      </c>
      <c r="C332" s="18" t="s">
        <v>454</v>
      </c>
      <c r="D332" s="19">
        <v>223000</v>
      </c>
      <c r="E332" s="19">
        <v>0</v>
      </c>
      <c r="F332" s="19"/>
      <c r="G332" s="19">
        <v>310</v>
      </c>
      <c r="H332" s="19">
        <v>5.1</v>
      </c>
      <c r="I332" s="19"/>
      <c r="J332" s="19" t="s">
        <v>81</v>
      </c>
      <c r="K332" s="19" t="b">
        <v>1</v>
      </c>
      <c r="L332" s="15">
        <v>2017</v>
      </c>
      <c r="M332" s="16">
        <v>2501733</v>
      </c>
      <c r="N332" s="20">
        <v>41451</v>
      </c>
      <c r="O332" s="20">
        <v>41451</v>
      </c>
    </row>
    <row r="333" spans="1:15" ht="14.25">
      <c r="A333" s="17">
        <v>2013</v>
      </c>
      <c r="B333" s="18" t="s">
        <v>453</v>
      </c>
      <c r="C333" s="18" t="s">
        <v>454</v>
      </c>
      <c r="D333" s="19">
        <v>223000</v>
      </c>
      <c r="E333" s="19">
        <v>0</v>
      </c>
      <c r="F333" s="19"/>
      <c r="G333" s="19">
        <v>300</v>
      </c>
      <c r="H333" s="19">
        <v>5</v>
      </c>
      <c r="I333" s="19" t="s">
        <v>458</v>
      </c>
      <c r="J333" s="19" t="s">
        <v>80</v>
      </c>
      <c r="K333" s="19" t="b">
        <v>0</v>
      </c>
      <c r="L333" s="15">
        <v>2020</v>
      </c>
      <c r="M333" s="16">
        <v>2501733</v>
      </c>
      <c r="N333" s="20">
        <v>41451</v>
      </c>
      <c r="O333" s="20">
        <v>41451</v>
      </c>
    </row>
    <row r="334" spans="1:15" ht="14.25">
      <c r="A334" s="17">
        <v>2013</v>
      </c>
      <c r="B334" s="18" t="s">
        <v>453</v>
      </c>
      <c r="C334" s="18" t="s">
        <v>454</v>
      </c>
      <c r="D334" s="19">
        <v>223000</v>
      </c>
      <c r="E334" s="19">
        <v>0</v>
      </c>
      <c r="F334" s="19"/>
      <c r="G334" s="19">
        <v>80</v>
      </c>
      <c r="H334" s="19" t="s">
        <v>51</v>
      </c>
      <c r="I334" s="19"/>
      <c r="J334" s="19" t="s">
        <v>52</v>
      </c>
      <c r="K334" s="19" t="b">
        <v>1</v>
      </c>
      <c r="L334" s="15">
        <v>2017</v>
      </c>
      <c r="M334" s="16">
        <v>14500000</v>
      </c>
      <c r="N334" s="20">
        <v>41451</v>
      </c>
      <c r="O334" s="20">
        <v>41451</v>
      </c>
    </row>
    <row r="335" spans="1:15" ht="14.25">
      <c r="A335" s="17">
        <v>2013</v>
      </c>
      <c r="B335" s="18" t="s">
        <v>453</v>
      </c>
      <c r="C335" s="18" t="s">
        <v>454</v>
      </c>
      <c r="D335" s="19">
        <v>223000</v>
      </c>
      <c r="E335" s="19">
        <v>0</v>
      </c>
      <c r="F335" s="19"/>
      <c r="G335" s="19">
        <v>460</v>
      </c>
      <c r="H335" s="19">
        <v>9.2</v>
      </c>
      <c r="I335" s="19" t="s">
        <v>461</v>
      </c>
      <c r="J335" s="19" t="s">
        <v>96</v>
      </c>
      <c r="K335" s="19" t="b">
        <v>0</v>
      </c>
      <c r="L335" s="15">
        <v>2017</v>
      </c>
      <c r="M335" s="16">
        <v>0.0436</v>
      </c>
      <c r="N335" s="20">
        <v>41451</v>
      </c>
      <c r="O335" s="20">
        <v>41451</v>
      </c>
    </row>
    <row r="336" spans="1:15" ht="14.25">
      <c r="A336" s="17">
        <v>2013</v>
      </c>
      <c r="B336" s="18" t="s">
        <v>453</v>
      </c>
      <c r="C336" s="18" t="s">
        <v>454</v>
      </c>
      <c r="D336" s="19">
        <v>223000</v>
      </c>
      <c r="E336" s="19">
        <v>0</v>
      </c>
      <c r="F336" s="19"/>
      <c r="G336" s="19">
        <v>390</v>
      </c>
      <c r="H336" s="19">
        <v>6.3</v>
      </c>
      <c r="I336" s="19" t="s">
        <v>472</v>
      </c>
      <c r="J336" s="19" t="s">
        <v>91</v>
      </c>
      <c r="K336" s="19" t="b">
        <v>0</v>
      </c>
      <c r="L336" s="15">
        <v>2018</v>
      </c>
      <c r="M336" s="16">
        <v>0.1807</v>
      </c>
      <c r="N336" s="20">
        <v>41451</v>
      </c>
      <c r="O336" s="20">
        <v>41451</v>
      </c>
    </row>
    <row r="337" spans="1:15" ht="14.25">
      <c r="A337" s="17">
        <v>2013</v>
      </c>
      <c r="B337" s="18" t="s">
        <v>453</v>
      </c>
      <c r="C337" s="18" t="s">
        <v>454</v>
      </c>
      <c r="D337" s="19">
        <v>223000</v>
      </c>
      <c r="E337" s="19">
        <v>0</v>
      </c>
      <c r="F337" s="19"/>
      <c r="G337" s="19">
        <v>680</v>
      </c>
      <c r="H337" s="19" t="s">
        <v>123</v>
      </c>
      <c r="I337" s="19"/>
      <c r="J337" s="19" t="s">
        <v>124</v>
      </c>
      <c r="K337" s="19" t="b">
        <v>1</v>
      </c>
      <c r="L337" s="15">
        <v>2015</v>
      </c>
      <c r="M337" s="16">
        <v>110389</v>
      </c>
      <c r="N337" s="20">
        <v>41451</v>
      </c>
      <c r="O337" s="20">
        <v>41451</v>
      </c>
    </row>
    <row r="338" spans="1:15" ht="14.25">
      <c r="A338" s="17">
        <v>2013</v>
      </c>
      <c r="B338" s="18" t="s">
        <v>453</v>
      </c>
      <c r="C338" s="18" t="s">
        <v>454</v>
      </c>
      <c r="D338" s="19">
        <v>223000</v>
      </c>
      <c r="E338" s="19">
        <v>0</v>
      </c>
      <c r="F338" s="19"/>
      <c r="G338" s="19">
        <v>120</v>
      </c>
      <c r="H338" s="19">
        <v>2</v>
      </c>
      <c r="I338" s="19" t="s">
        <v>469</v>
      </c>
      <c r="J338" s="19" t="s">
        <v>21</v>
      </c>
      <c r="K338" s="19" t="b">
        <v>0</v>
      </c>
      <c r="L338" s="15">
        <v>2021</v>
      </c>
      <c r="M338" s="16">
        <v>82720017</v>
      </c>
      <c r="N338" s="20">
        <v>41451</v>
      </c>
      <c r="O338" s="20">
        <v>41451</v>
      </c>
    </row>
    <row r="339" spans="1:15" ht="14.25">
      <c r="A339" s="17">
        <v>2013</v>
      </c>
      <c r="B339" s="18" t="s">
        <v>453</v>
      </c>
      <c r="C339" s="18" t="s">
        <v>454</v>
      </c>
      <c r="D339" s="19">
        <v>223000</v>
      </c>
      <c r="E339" s="19">
        <v>0</v>
      </c>
      <c r="F339" s="19"/>
      <c r="G339" s="19">
        <v>460</v>
      </c>
      <c r="H339" s="19">
        <v>9.2</v>
      </c>
      <c r="I339" s="19" t="s">
        <v>461</v>
      </c>
      <c r="J339" s="19" t="s">
        <v>96</v>
      </c>
      <c r="K339" s="19" t="b">
        <v>0</v>
      </c>
      <c r="L339" s="15">
        <v>2024</v>
      </c>
      <c r="M339" s="16">
        <v>0.0261</v>
      </c>
      <c r="N339" s="20">
        <v>41451</v>
      </c>
      <c r="O339" s="20">
        <v>41451</v>
      </c>
    </row>
    <row r="340" spans="1:15" ht="14.25">
      <c r="A340" s="17">
        <v>2013</v>
      </c>
      <c r="B340" s="18" t="s">
        <v>453</v>
      </c>
      <c r="C340" s="18" t="s">
        <v>454</v>
      </c>
      <c r="D340" s="19">
        <v>223000</v>
      </c>
      <c r="E340" s="19">
        <v>0</v>
      </c>
      <c r="F340" s="19"/>
      <c r="G340" s="19">
        <v>180</v>
      </c>
      <c r="H340" s="19" t="s">
        <v>67</v>
      </c>
      <c r="I340" s="19"/>
      <c r="J340" s="19" t="s">
        <v>68</v>
      </c>
      <c r="K340" s="19" t="b">
        <v>0</v>
      </c>
      <c r="L340" s="15">
        <v>2025</v>
      </c>
      <c r="M340" s="16">
        <v>52031</v>
      </c>
      <c r="N340" s="20">
        <v>41451</v>
      </c>
      <c r="O340" s="20">
        <v>41451</v>
      </c>
    </row>
    <row r="341" spans="1:15" ht="14.25">
      <c r="A341" s="17">
        <v>2013</v>
      </c>
      <c r="B341" s="18" t="s">
        <v>453</v>
      </c>
      <c r="C341" s="18" t="s">
        <v>454</v>
      </c>
      <c r="D341" s="19">
        <v>223000</v>
      </c>
      <c r="E341" s="19">
        <v>0</v>
      </c>
      <c r="F341" s="19"/>
      <c r="G341" s="19">
        <v>460</v>
      </c>
      <c r="H341" s="19">
        <v>9.2</v>
      </c>
      <c r="I341" s="19" t="s">
        <v>461</v>
      </c>
      <c r="J341" s="19" t="s">
        <v>96</v>
      </c>
      <c r="K341" s="19" t="b">
        <v>0</v>
      </c>
      <c r="L341" s="15">
        <v>2014</v>
      </c>
      <c r="M341" s="16">
        <v>0.0601</v>
      </c>
      <c r="N341" s="20">
        <v>41451</v>
      </c>
      <c r="O341" s="20">
        <v>41451</v>
      </c>
    </row>
    <row r="342" spans="1:15" ht="14.25">
      <c r="A342" s="17">
        <v>2013</v>
      </c>
      <c r="B342" s="18" t="s">
        <v>453</v>
      </c>
      <c r="C342" s="18" t="s">
        <v>454</v>
      </c>
      <c r="D342" s="19">
        <v>223000</v>
      </c>
      <c r="E342" s="19">
        <v>0</v>
      </c>
      <c r="F342" s="19"/>
      <c r="G342" s="19">
        <v>580</v>
      </c>
      <c r="H342" s="19">
        <v>11.1</v>
      </c>
      <c r="I342" s="19"/>
      <c r="J342" s="19" t="s">
        <v>111</v>
      </c>
      <c r="K342" s="19" t="b">
        <v>0</v>
      </c>
      <c r="L342" s="15">
        <v>2015</v>
      </c>
      <c r="M342" s="16">
        <v>30900000</v>
      </c>
      <c r="N342" s="20">
        <v>41451</v>
      </c>
      <c r="O342" s="20">
        <v>41451</v>
      </c>
    </row>
    <row r="343" spans="1:15" ht="14.25">
      <c r="A343" s="17">
        <v>2013</v>
      </c>
      <c r="B343" s="18" t="s">
        <v>453</v>
      </c>
      <c r="C343" s="18" t="s">
        <v>454</v>
      </c>
      <c r="D343" s="19">
        <v>223000</v>
      </c>
      <c r="E343" s="19">
        <v>0</v>
      </c>
      <c r="F343" s="19"/>
      <c r="G343" s="19">
        <v>920</v>
      </c>
      <c r="H343" s="19" t="s">
        <v>156</v>
      </c>
      <c r="I343" s="19"/>
      <c r="J343" s="19" t="s">
        <v>157</v>
      </c>
      <c r="K343" s="19" t="b">
        <v>1</v>
      </c>
      <c r="L343" s="15">
        <v>2013</v>
      </c>
      <c r="M343" s="16">
        <v>7000000</v>
      </c>
      <c r="N343" s="20">
        <v>41451</v>
      </c>
      <c r="O343" s="20">
        <v>41451</v>
      </c>
    </row>
    <row r="344" spans="1:15" ht="14.25">
      <c r="A344" s="17">
        <v>2013</v>
      </c>
      <c r="B344" s="18" t="s">
        <v>453</v>
      </c>
      <c r="C344" s="18" t="s">
        <v>454</v>
      </c>
      <c r="D344" s="19">
        <v>223000</v>
      </c>
      <c r="E344" s="19">
        <v>0</v>
      </c>
      <c r="F344" s="19"/>
      <c r="G344" s="19">
        <v>50</v>
      </c>
      <c r="H344" s="19" t="s">
        <v>45</v>
      </c>
      <c r="I344" s="19"/>
      <c r="J344" s="19" t="s">
        <v>46</v>
      </c>
      <c r="K344" s="19" t="b">
        <v>1</v>
      </c>
      <c r="L344" s="15">
        <v>2014</v>
      </c>
      <c r="M344" s="16">
        <v>7100000</v>
      </c>
      <c r="N344" s="20">
        <v>41451</v>
      </c>
      <c r="O344" s="20">
        <v>41451</v>
      </c>
    </row>
    <row r="345" spans="1:15" ht="14.25">
      <c r="A345" s="17">
        <v>2013</v>
      </c>
      <c r="B345" s="18" t="s">
        <v>453</v>
      </c>
      <c r="C345" s="18" t="s">
        <v>454</v>
      </c>
      <c r="D345" s="19">
        <v>223000</v>
      </c>
      <c r="E345" s="19">
        <v>0</v>
      </c>
      <c r="F345" s="19"/>
      <c r="G345" s="19">
        <v>100</v>
      </c>
      <c r="H345" s="19" t="s">
        <v>54</v>
      </c>
      <c r="I345" s="19"/>
      <c r="J345" s="19" t="s">
        <v>55</v>
      </c>
      <c r="K345" s="19" t="b">
        <v>1</v>
      </c>
      <c r="L345" s="15">
        <v>2020</v>
      </c>
      <c r="M345" s="16">
        <v>1160000</v>
      </c>
      <c r="N345" s="20">
        <v>41451</v>
      </c>
      <c r="O345" s="20">
        <v>41451</v>
      </c>
    </row>
    <row r="346" spans="1:15" ht="14.25">
      <c r="A346" s="17">
        <v>2013</v>
      </c>
      <c r="B346" s="18" t="s">
        <v>453</v>
      </c>
      <c r="C346" s="18" t="s">
        <v>454</v>
      </c>
      <c r="D346" s="19">
        <v>223000</v>
      </c>
      <c r="E346" s="19">
        <v>0</v>
      </c>
      <c r="F346" s="19"/>
      <c r="G346" s="19">
        <v>30</v>
      </c>
      <c r="H346" s="19" t="s">
        <v>41</v>
      </c>
      <c r="I346" s="19"/>
      <c r="J346" s="19" t="s">
        <v>42</v>
      </c>
      <c r="K346" s="19" t="b">
        <v>1</v>
      </c>
      <c r="L346" s="15">
        <v>2017</v>
      </c>
      <c r="M346" s="16">
        <v>30000000</v>
      </c>
      <c r="N346" s="20">
        <v>41451</v>
      </c>
      <c r="O346" s="20">
        <v>41451</v>
      </c>
    </row>
    <row r="347" spans="1:15" ht="14.25">
      <c r="A347" s="17">
        <v>2013</v>
      </c>
      <c r="B347" s="18" t="s">
        <v>453</v>
      </c>
      <c r="C347" s="18" t="s">
        <v>454</v>
      </c>
      <c r="D347" s="19">
        <v>223000</v>
      </c>
      <c r="E347" s="19">
        <v>0</v>
      </c>
      <c r="F347" s="19"/>
      <c r="G347" s="19">
        <v>10</v>
      </c>
      <c r="H347" s="19">
        <v>1</v>
      </c>
      <c r="I347" s="19" t="s">
        <v>457</v>
      </c>
      <c r="J347" s="19" t="s">
        <v>26</v>
      </c>
      <c r="K347" s="19" t="b">
        <v>1</v>
      </c>
      <c r="L347" s="15">
        <v>2020</v>
      </c>
      <c r="M347" s="16">
        <v>84280681</v>
      </c>
      <c r="N347" s="20">
        <v>41451</v>
      </c>
      <c r="O347" s="20">
        <v>41451</v>
      </c>
    </row>
    <row r="348" spans="1:15" ht="14.25">
      <c r="A348" s="17">
        <v>2013</v>
      </c>
      <c r="B348" s="18" t="s">
        <v>453</v>
      </c>
      <c r="C348" s="18" t="s">
        <v>454</v>
      </c>
      <c r="D348" s="19">
        <v>223000</v>
      </c>
      <c r="E348" s="19">
        <v>0</v>
      </c>
      <c r="F348" s="19"/>
      <c r="G348" s="19">
        <v>20</v>
      </c>
      <c r="H348" s="19">
        <v>1.1</v>
      </c>
      <c r="I348" s="19"/>
      <c r="J348" s="19" t="s">
        <v>40</v>
      </c>
      <c r="K348" s="19" t="b">
        <v>1</v>
      </c>
      <c r="L348" s="15">
        <v>2014</v>
      </c>
      <c r="M348" s="16">
        <v>77248907</v>
      </c>
      <c r="N348" s="20">
        <v>41451</v>
      </c>
      <c r="O348" s="20">
        <v>41451</v>
      </c>
    </row>
    <row r="349" spans="1:15" ht="14.25">
      <c r="A349" s="17">
        <v>2013</v>
      </c>
      <c r="B349" s="18" t="s">
        <v>453</v>
      </c>
      <c r="C349" s="18" t="s">
        <v>454</v>
      </c>
      <c r="D349" s="19">
        <v>223000</v>
      </c>
      <c r="E349" s="19">
        <v>0</v>
      </c>
      <c r="F349" s="19"/>
      <c r="G349" s="19">
        <v>430</v>
      </c>
      <c r="H349" s="19">
        <v>8.2</v>
      </c>
      <c r="I349" s="19" t="s">
        <v>471</v>
      </c>
      <c r="J349" s="19" t="s">
        <v>94</v>
      </c>
      <c r="K349" s="19" t="b">
        <v>0</v>
      </c>
      <c r="L349" s="15">
        <v>2018</v>
      </c>
      <c r="M349" s="16">
        <v>2001733</v>
      </c>
      <c r="N349" s="20">
        <v>41451</v>
      </c>
      <c r="O349" s="20">
        <v>41451</v>
      </c>
    </row>
    <row r="350" spans="1:15" ht="14.25">
      <c r="A350" s="17">
        <v>2013</v>
      </c>
      <c r="B350" s="18" t="s">
        <v>453</v>
      </c>
      <c r="C350" s="18" t="s">
        <v>454</v>
      </c>
      <c r="D350" s="19">
        <v>223000</v>
      </c>
      <c r="E350" s="19">
        <v>0</v>
      </c>
      <c r="F350" s="19"/>
      <c r="G350" s="19">
        <v>170</v>
      </c>
      <c r="H350" s="19" t="s">
        <v>65</v>
      </c>
      <c r="I350" s="19"/>
      <c r="J350" s="19" t="s">
        <v>66</v>
      </c>
      <c r="K350" s="19" t="b">
        <v>1</v>
      </c>
      <c r="L350" s="15">
        <v>2024</v>
      </c>
      <c r="M350" s="16">
        <v>137557</v>
      </c>
      <c r="N350" s="20">
        <v>41451</v>
      </c>
      <c r="O350" s="20">
        <v>41451</v>
      </c>
    </row>
    <row r="351" spans="1:15" ht="14.25">
      <c r="A351" s="17">
        <v>2013</v>
      </c>
      <c r="B351" s="18" t="s">
        <v>453</v>
      </c>
      <c r="C351" s="18" t="s">
        <v>454</v>
      </c>
      <c r="D351" s="19">
        <v>223000</v>
      </c>
      <c r="E351" s="19">
        <v>0</v>
      </c>
      <c r="F351" s="19"/>
      <c r="G351" s="19">
        <v>90</v>
      </c>
      <c r="H351" s="19">
        <v>1.2</v>
      </c>
      <c r="I351" s="19"/>
      <c r="J351" s="19" t="s">
        <v>53</v>
      </c>
      <c r="K351" s="19" t="b">
        <v>1</v>
      </c>
      <c r="L351" s="15">
        <v>2025</v>
      </c>
      <c r="M351" s="16">
        <v>1160000</v>
      </c>
      <c r="N351" s="20">
        <v>41451</v>
      </c>
      <c r="O351" s="20">
        <v>41451</v>
      </c>
    </row>
    <row r="352" spans="1:15" ht="14.25">
      <c r="A352" s="17">
        <v>2013</v>
      </c>
      <c r="B352" s="18" t="s">
        <v>453</v>
      </c>
      <c r="C352" s="18" t="s">
        <v>454</v>
      </c>
      <c r="D352" s="19">
        <v>223000</v>
      </c>
      <c r="E352" s="19">
        <v>0</v>
      </c>
      <c r="F352" s="19"/>
      <c r="G352" s="19">
        <v>200</v>
      </c>
      <c r="H352" s="19">
        <v>3</v>
      </c>
      <c r="I352" s="19" t="s">
        <v>455</v>
      </c>
      <c r="J352" s="19" t="s">
        <v>23</v>
      </c>
      <c r="K352" s="19" t="b">
        <v>0</v>
      </c>
      <c r="L352" s="15">
        <v>2020</v>
      </c>
      <c r="M352" s="16">
        <v>2501733</v>
      </c>
      <c r="N352" s="20">
        <v>41451</v>
      </c>
      <c r="O352" s="20">
        <v>41451</v>
      </c>
    </row>
    <row r="353" spans="1:15" ht="14.25">
      <c r="A353" s="17">
        <v>2013</v>
      </c>
      <c r="B353" s="18" t="s">
        <v>453</v>
      </c>
      <c r="C353" s="18" t="s">
        <v>454</v>
      </c>
      <c r="D353" s="19">
        <v>223000</v>
      </c>
      <c r="E353" s="19">
        <v>0</v>
      </c>
      <c r="F353" s="19"/>
      <c r="G353" s="19">
        <v>70</v>
      </c>
      <c r="H353" s="19" t="s">
        <v>49</v>
      </c>
      <c r="I353" s="19"/>
      <c r="J353" s="19" t="s">
        <v>50</v>
      </c>
      <c r="K353" s="19" t="b">
        <v>1</v>
      </c>
      <c r="L353" s="15">
        <v>2021</v>
      </c>
      <c r="M353" s="16">
        <v>25800000</v>
      </c>
      <c r="N353" s="20">
        <v>41451</v>
      </c>
      <c r="O353" s="20">
        <v>41451</v>
      </c>
    </row>
    <row r="354" spans="1:15" ht="14.25">
      <c r="A354" s="17">
        <v>2013</v>
      </c>
      <c r="B354" s="18" t="s">
        <v>453</v>
      </c>
      <c r="C354" s="18" t="s">
        <v>454</v>
      </c>
      <c r="D354" s="19">
        <v>223000</v>
      </c>
      <c r="E354" s="19">
        <v>0</v>
      </c>
      <c r="F354" s="19"/>
      <c r="G354" s="19">
        <v>540</v>
      </c>
      <c r="H354" s="19" t="s">
        <v>106</v>
      </c>
      <c r="I354" s="19" t="s">
        <v>460</v>
      </c>
      <c r="J354" s="19" t="s">
        <v>107</v>
      </c>
      <c r="K354" s="19" t="b">
        <v>0</v>
      </c>
      <c r="L354" s="15">
        <v>2015</v>
      </c>
      <c r="M354" s="16">
        <v>1388</v>
      </c>
      <c r="N354" s="20">
        <v>41451</v>
      </c>
      <c r="O354" s="20">
        <v>41451</v>
      </c>
    </row>
    <row r="355" spans="1:15" ht="14.25">
      <c r="A355" s="17">
        <v>2013</v>
      </c>
      <c r="B355" s="18" t="s">
        <v>453</v>
      </c>
      <c r="C355" s="18" t="s">
        <v>454</v>
      </c>
      <c r="D355" s="19">
        <v>223000</v>
      </c>
      <c r="E355" s="19">
        <v>0</v>
      </c>
      <c r="F355" s="19"/>
      <c r="G355" s="19">
        <v>500</v>
      </c>
      <c r="H355" s="19">
        <v>9.6</v>
      </c>
      <c r="I355" s="19" t="s">
        <v>463</v>
      </c>
      <c r="J355" s="19" t="s">
        <v>99</v>
      </c>
      <c r="K355" s="19" t="b">
        <v>0</v>
      </c>
      <c r="L355" s="15">
        <v>2016</v>
      </c>
      <c r="M355" s="16">
        <v>0.0427</v>
      </c>
      <c r="N355" s="20">
        <v>41451</v>
      </c>
      <c r="O355" s="20">
        <v>41451</v>
      </c>
    </row>
    <row r="356" spans="1:15" ht="14.25">
      <c r="A356" s="17">
        <v>2013</v>
      </c>
      <c r="B356" s="18" t="s">
        <v>453</v>
      </c>
      <c r="C356" s="18" t="s">
        <v>454</v>
      </c>
      <c r="D356" s="19">
        <v>223000</v>
      </c>
      <c r="E356" s="19">
        <v>0</v>
      </c>
      <c r="F356" s="19"/>
      <c r="G356" s="19">
        <v>710</v>
      </c>
      <c r="H356" s="19" t="s">
        <v>128</v>
      </c>
      <c r="I356" s="19"/>
      <c r="J356" s="19" t="s">
        <v>129</v>
      </c>
      <c r="K356" s="19" t="b">
        <v>0</v>
      </c>
      <c r="L356" s="15">
        <v>2013</v>
      </c>
      <c r="M356" s="16">
        <v>179391</v>
      </c>
      <c r="N356" s="20">
        <v>41451</v>
      </c>
      <c r="O356" s="20">
        <v>41451</v>
      </c>
    </row>
    <row r="357" spans="1:15" ht="14.25">
      <c r="A357" s="17">
        <v>2013</v>
      </c>
      <c r="B357" s="18" t="s">
        <v>453</v>
      </c>
      <c r="C357" s="18" t="s">
        <v>454</v>
      </c>
      <c r="D357" s="19">
        <v>223000</v>
      </c>
      <c r="E357" s="19">
        <v>0</v>
      </c>
      <c r="F357" s="19"/>
      <c r="G357" s="19">
        <v>70</v>
      </c>
      <c r="H357" s="19" t="s">
        <v>49</v>
      </c>
      <c r="I357" s="19"/>
      <c r="J357" s="19" t="s">
        <v>50</v>
      </c>
      <c r="K357" s="19" t="b">
        <v>1</v>
      </c>
      <c r="L357" s="15">
        <v>2014</v>
      </c>
      <c r="M357" s="16">
        <v>25100000</v>
      </c>
      <c r="N357" s="20">
        <v>41451</v>
      </c>
      <c r="O357" s="20">
        <v>41451</v>
      </c>
    </row>
    <row r="358" spans="1:15" ht="14.25">
      <c r="A358" s="17">
        <v>2013</v>
      </c>
      <c r="B358" s="18" t="s">
        <v>453</v>
      </c>
      <c r="C358" s="18" t="s">
        <v>454</v>
      </c>
      <c r="D358" s="19">
        <v>223000</v>
      </c>
      <c r="E358" s="19">
        <v>0</v>
      </c>
      <c r="F358" s="19"/>
      <c r="G358" s="19">
        <v>170</v>
      </c>
      <c r="H358" s="19" t="s">
        <v>65</v>
      </c>
      <c r="I358" s="19"/>
      <c r="J358" s="19" t="s">
        <v>66</v>
      </c>
      <c r="K358" s="19" t="b">
        <v>1</v>
      </c>
      <c r="L358" s="15">
        <v>2021</v>
      </c>
      <c r="M358" s="16">
        <v>504813</v>
      </c>
      <c r="N358" s="20">
        <v>41451</v>
      </c>
      <c r="O358" s="20">
        <v>41451</v>
      </c>
    </row>
    <row r="359" spans="1:15" ht="14.25">
      <c r="A359" s="17">
        <v>2013</v>
      </c>
      <c r="B359" s="18" t="s">
        <v>453</v>
      </c>
      <c r="C359" s="18" t="s">
        <v>454</v>
      </c>
      <c r="D359" s="19">
        <v>223000</v>
      </c>
      <c r="E359" s="19">
        <v>0</v>
      </c>
      <c r="F359" s="19"/>
      <c r="G359" s="19">
        <v>40</v>
      </c>
      <c r="H359" s="19" t="s">
        <v>43</v>
      </c>
      <c r="I359" s="19"/>
      <c r="J359" s="19" t="s">
        <v>44</v>
      </c>
      <c r="K359" s="19" t="b">
        <v>1</v>
      </c>
      <c r="L359" s="15">
        <v>2024</v>
      </c>
      <c r="M359" s="16">
        <v>2950000</v>
      </c>
      <c r="N359" s="20">
        <v>41451</v>
      </c>
      <c r="O359" s="20">
        <v>41451</v>
      </c>
    </row>
    <row r="360" spans="1:15" ht="14.25">
      <c r="A360" s="17">
        <v>2013</v>
      </c>
      <c r="B360" s="18" t="s">
        <v>453</v>
      </c>
      <c r="C360" s="18" t="s">
        <v>454</v>
      </c>
      <c r="D360" s="19">
        <v>223000</v>
      </c>
      <c r="E360" s="19">
        <v>0</v>
      </c>
      <c r="F360" s="19"/>
      <c r="G360" s="19">
        <v>450</v>
      </c>
      <c r="H360" s="19">
        <v>9.1</v>
      </c>
      <c r="I360" s="19" t="s">
        <v>459</v>
      </c>
      <c r="J360" s="19" t="s">
        <v>95</v>
      </c>
      <c r="K360" s="19" t="b">
        <v>1</v>
      </c>
      <c r="L360" s="15">
        <v>2015</v>
      </c>
      <c r="M360" s="16">
        <v>0.0418</v>
      </c>
      <c r="N360" s="20">
        <v>41451</v>
      </c>
      <c r="O360" s="20">
        <v>41451</v>
      </c>
    </row>
    <row r="361" spans="1:15" ht="14.25">
      <c r="A361" s="17">
        <v>2013</v>
      </c>
      <c r="B361" s="18" t="s">
        <v>453</v>
      </c>
      <c r="C361" s="18" t="s">
        <v>454</v>
      </c>
      <c r="D361" s="19">
        <v>223000</v>
      </c>
      <c r="E361" s="19">
        <v>0</v>
      </c>
      <c r="F361" s="19"/>
      <c r="G361" s="19">
        <v>310</v>
      </c>
      <c r="H361" s="19">
        <v>5.1</v>
      </c>
      <c r="I361" s="19"/>
      <c r="J361" s="19" t="s">
        <v>81</v>
      </c>
      <c r="K361" s="19" t="b">
        <v>1</v>
      </c>
      <c r="L361" s="15">
        <v>2013</v>
      </c>
      <c r="M361" s="16">
        <v>4319913</v>
      </c>
      <c r="N361" s="20">
        <v>41451</v>
      </c>
      <c r="O361" s="20">
        <v>41451</v>
      </c>
    </row>
    <row r="362" spans="1:15" ht="14.25">
      <c r="A362" s="17">
        <v>2013</v>
      </c>
      <c r="B362" s="18" t="s">
        <v>453</v>
      </c>
      <c r="C362" s="18" t="s">
        <v>454</v>
      </c>
      <c r="D362" s="19">
        <v>223000</v>
      </c>
      <c r="E362" s="19">
        <v>0</v>
      </c>
      <c r="F362" s="19"/>
      <c r="G362" s="19">
        <v>450</v>
      </c>
      <c r="H362" s="19">
        <v>9.1</v>
      </c>
      <c r="I362" s="19" t="s">
        <v>459</v>
      </c>
      <c r="J362" s="19" t="s">
        <v>95</v>
      </c>
      <c r="K362" s="19" t="b">
        <v>1</v>
      </c>
      <c r="L362" s="15">
        <v>2013</v>
      </c>
      <c r="M362" s="16">
        <v>0.0579</v>
      </c>
      <c r="N362" s="20">
        <v>41451</v>
      </c>
      <c r="O362" s="20">
        <v>41451</v>
      </c>
    </row>
    <row r="363" spans="1:15" ht="14.25">
      <c r="A363" s="17">
        <v>2013</v>
      </c>
      <c r="B363" s="18" t="s">
        <v>453</v>
      </c>
      <c r="C363" s="18" t="s">
        <v>454</v>
      </c>
      <c r="D363" s="19">
        <v>223000</v>
      </c>
      <c r="E363" s="19">
        <v>0</v>
      </c>
      <c r="F363" s="19"/>
      <c r="G363" s="19">
        <v>90</v>
      </c>
      <c r="H363" s="19">
        <v>1.2</v>
      </c>
      <c r="I363" s="19"/>
      <c r="J363" s="19" t="s">
        <v>53</v>
      </c>
      <c r="K363" s="19" t="b">
        <v>1</v>
      </c>
      <c r="L363" s="15">
        <v>2015</v>
      </c>
      <c r="M363" s="16">
        <v>13600000</v>
      </c>
      <c r="N363" s="20">
        <v>41451</v>
      </c>
      <c r="O363" s="20">
        <v>41451</v>
      </c>
    </row>
    <row r="364" spans="1:15" ht="14.25">
      <c r="A364" s="17">
        <v>2013</v>
      </c>
      <c r="B364" s="18" t="s">
        <v>453</v>
      </c>
      <c r="C364" s="18" t="s">
        <v>454</v>
      </c>
      <c r="D364" s="19">
        <v>223000</v>
      </c>
      <c r="E364" s="19">
        <v>0</v>
      </c>
      <c r="F364" s="19"/>
      <c r="G364" s="19">
        <v>300</v>
      </c>
      <c r="H364" s="19">
        <v>5</v>
      </c>
      <c r="I364" s="19" t="s">
        <v>458</v>
      </c>
      <c r="J364" s="19" t="s">
        <v>80</v>
      </c>
      <c r="K364" s="19" t="b">
        <v>0</v>
      </c>
      <c r="L364" s="15">
        <v>2017</v>
      </c>
      <c r="M364" s="16">
        <v>2501733</v>
      </c>
      <c r="N364" s="20">
        <v>41451</v>
      </c>
      <c r="O364" s="20">
        <v>41451</v>
      </c>
    </row>
    <row r="365" spans="1:15" ht="14.25">
      <c r="A365" s="17">
        <v>2013</v>
      </c>
      <c r="B365" s="18" t="s">
        <v>453</v>
      </c>
      <c r="C365" s="18" t="s">
        <v>454</v>
      </c>
      <c r="D365" s="19">
        <v>223000</v>
      </c>
      <c r="E365" s="19">
        <v>0</v>
      </c>
      <c r="F365" s="19"/>
      <c r="G365" s="19">
        <v>920</v>
      </c>
      <c r="H365" s="19" t="s">
        <v>156</v>
      </c>
      <c r="I365" s="19"/>
      <c r="J365" s="19" t="s">
        <v>157</v>
      </c>
      <c r="K365" s="19" t="b">
        <v>1</v>
      </c>
      <c r="L365" s="15">
        <v>2016</v>
      </c>
      <c r="M365" s="16">
        <v>4000000</v>
      </c>
      <c r="N365" s="20">
        <v>41451</v>
      </c>
      <c r="O365" s="20">
        <v>41451</v>
      </c>
    </row>
    <row r="366" spans="1:15" ht="14.25">
      <c r="A366" s="17">
        <v>2013</v>
      </c>
      <c r="B366" s="18" t="s">
        <v>453</v>
      </c>
      <c r="C366" s="18" t="s">
        <v>454</v>
      </c>
      <c r="D366" s="19">
        <v>223000</v>
      </c>
      <c r="E366" s="19">
        <v>0</v>
      </c>
      <c r="F366" s="19"/>
      <c r="G366" s="19">
        <v>30</v>
      </c>
      <c r="H366" s="19" t="s">
        <v>41</v>
      </c>
      <c r="I366" s="19"/>
      <c r="J366" s="19" t="s">
        <v>42</v>
      </c>
      <c r="K366" s="19" t="b">
        <v>1</v>
      </c>
      <c r="L366" s="15">
        <v>2020</v>
      </c>
      <c r="M366" s="16">
        <v>31500000</v>
      </c>
      <c r="N366" s="20">
        <v>41451</v>
      </c>
      <c r="O366" s="20">
        <v>41451</v>
      </c>
    </row>
    <row r="367" spans="1:15" ht="14.25">
      <c r="A367" s="17">
        <v>2013</v>
      </c>
      <c r="B367" s="18" t="s">
        <v>453</v>
      </c>
      <c r="C367" s="18" t="s">
        <v>454</v>
      </c>
      <c r="D367" s="19">
        <v>223000</v>
      </c>
      <c r="E367" s="19">
        <v>0</v>
      </c>
      <c r="F367" s="19"/>
      <c r="G367" s="19">
        <v>200</v>
      </c>
      <c r="H367" s="19">
        <v>3</v>
      </c>
      <c r="I367" s="19" t="s">
        <v>455</v>
      </c>
      <c r="J367" s="19" t="s">
        <v>23</v>
      </c>
      <c r="K367" s="19" t="b">
        <v>0</v>
      </c>
      <c r="L367" s="15">
        <v>2015</v>
      </c>
      <c r="M367" s="16">
        <v>2501733</v>
      </c>
      <c r="N367" s="20">
        <v>41451</v>
      </c>
      <c r="O367" s="20">
        <v>41451</v>
      </c>
    </row>
    <row r="368" spans="1:15" ht="14.25">
      <c r="A368" s="17">
        <v>2013</v>
      </c>
      <c r="B368" s="18" t="s">
        <v>453</v>
      </c>
      <c r="C368" s="18" t="s">
        <v>454</v>
      </c>
      <c r="D368" s="19">
        <v>223000</v>
      </c>
      <c r="E368" s="19">
        <v>0</v>
      </c>
      <c r="F368" s="19"/>
      <c r="G368" s="19">
        <v>550</v>
      </c>
      <c r="H368" s="19">
        <v>10</v>
      </c>
      <c r="I368" s="19"/>
      <c r="J368" s="19" t="s">
        <v>108</v>
      </c>
      <c r="K368" s="19" t="b">
        <v>0</v>
      </c>
      <c r="L368" s="15">
        <v>2018</v>
      </c>
      <c r="M368" s="16">
        <v>2501733</v>
      </c>
      <c r="N368" s="20">
        <v>41451</v>
      </c>
      <c r="O368" s="20">
        <v>41451</v>
      </c>
    </row>
    <row r="369" spans="1:15" ht="14.25">
      <c r="A369" s="17">
        <v>2013</v>
      </c>
      <c r="B369" s="18" t="s">
        <v>453</v>
      </c>
      <c r="C369" s="18" t="s">
        <v>454</v>
      </c>
      <c r="D369" s="19">
        <v>223000</v>
      </c>
      <c r="E369" s="19">
        <v>0</v>
      </c>
      <c r="F369" s="19"/>
      <c r="G369" s="19">
        <v>50</v>
      </c>
      <c r="H369" s="19" t="s">
        <v>45</v>
      </c>
      <c r="I369" s="19"/>
      <c r="J369" s="19" t="s">
        <v>46</v>
      </c>
      <c r="K369" s="19" t="b">
        <v>1</v>
      </c>
      <c r="L369" s="15">
        <v>2018</v>
      </c>
      <c r="M369" s="16">
        <v>7300000</v>
      </c>
      <c r="N369" s="20">
        <v>41451</v>
      </c>
      <c r="O369" s="20">
        <v>41451</v>
      </c>
    </row>
    <row r="370" spans="1:15" ht="14.25">
      <c r="A370" s="17">
        <v>2013</v>
      </c>
      <c r="B370" s="18" t="s">
        <v>453</v>
      </c>
      <c r="C370" s="18" t="s">
        <v>454</v>
      </c>
      <c r="D370" s="19">
        <v>223000</v>
      </c>
      <c r="E370" s="19">
        <v>0</v>
      </c>
      <c r="F370" s="19"/>
      <c r="G370" s="19">
        <v>350</v>
      </c>
      <c r="H370" s="19">
        <v>6</v>
      </c>
      <c r="I370" s="19"/>
      <c r="J370" s="19" t="s">
        <v>27</v>
      </c>
      <c r="K370" s="19" t="b">
        <v>1</v>
      </c>
      <c r="L370" s="15">
        <v>2021</v>
      </c>
      <c r="M370" s="16">
        <v>7463396</v>
      </c>
      <c r="N370" s="20">
        <v>41451</v>
      </c>
      <c r="O370" s="20">
        <v>41451</v>
      </c>
    </row>
    <row r="371" spans="1:15" ht="14.25">
      <c r="A371" s="17">
        <v>2013</v>
      </c>
      <c r="B371" s="18" t="s">
        <v>453</v>
      </c>
      <c r="C371" s="18" t="s">
        <v>454</v>
      </c>
      <c r="D371" s="19">
        <v>223000</v>
      </c>
      <c r="E371" s="19">
        <v>0</v>
      </c>
      <c r="F371" s="19"/>
      <c r="G371" s="19">
        <v>100</v>
      </c>
      <c r="H371" s="19" t="s">
        <v>54</v>
      </c>
      <c r="I371" s="19"/>
      <c r="J371" s="19" t="s">
        <v>55</v>
      </c>
      <c r="K371" s="19" t="b">
        <v>1</v>
      </c>
      <c r="L371" s="15">
        <v>2026</v>
      </c>
      <c r="M371" s="16">
        <v>1160000</v>
      </c>
      <c r="N371" s="20">
        <v>41451</v>
      </c>
      <c r="O371" s="20">
        <v>41451</v>
      </c>
    </row>
    <row r="372" spans="1:15" ht="14.25">
      <c r="A372" s="17">
        <v>2013</v>
      </c>
      <c r="B372" s="18" t="s">
        <v>453</v>
      </c>
      <c r="C372" s="18" t="s">
        <v>454</v>
      </c>
      <c r="D372" s="19">
        <v>223000</v>
      </c>
      <c r="E372" s="19">
        <v>0</v>
      </c>
      <c r="F372" s="19"/>
      <c r="G372" s="19">
        <v>20</v>
      </c>
      <c r="H372" s="19">
        <v>1.1</v>
      </c>
      <c r="I372" s="19"/>
      <c r="J372" s="19" t="s">
        <v>40</v>
      </c>
      <c r="K372" s="19" t="b">
        <v>1</v>
      </c>
      <c r="L372" s="15">
        <v>2016</v>
      </c>
      <c r="M372" s="16">
        <v>79356470</v>
      </c>
      <c r="N372" s="20">
        <v>41451</v>
      </c>
      <c r="O372" s="20">
        <v>41451</v>
      </c>
    </row>
    <row r="373" spans="1:15" ht="14.25">
      <c r="A373" s="17">
        <v>2013</v>
      </c>
      <c r="B373" s="18" t="s">
        <v>453</v>
      </c>
      <c r="C373" s="18" t="s">
        <v>454</v>
      </c>
      <c r="D373" s="19">
        <v>223000</v>
      </c>
      <c r="E373" s="19">
        <v>0</v>
      </c>
      <c r="F373" s="19"/>
      <c r="G373" s="19">
        <v>500</v>
      </c>
      <c r="H373" s="19">
        <v>9.6</v>
      </c>
      <c r="I373" s="19" t="s">
        <v>463</v>
      </c>
      <c r="J373" s="19" t="s">
        <v>99</v>
      </c>
      <c r="K373" s="19" t="b">
        <v>0</v>
      </c>
      <c r="L373" s="15">
        <v>2015</v>
      </c>
      <c r="M373" s="16">
        <v>0.0418</v>
      </c>
      <c r="N373" s="20">
        <v>41451</v>
      </c>
      <c r="O373" s="20">
        <v>41451</v>
      </c>
    </row>
    <row r="374" spans="1:15" ht="14.25">
      <c r="A374" s="17">
        <v>2013</v>
      </c>
      <c r="B374" s="18" t="s">
        <v>453</v>
      </c>
      <c r="C374" s="18" t="s">
        <v>454</v>
      </c>
      <c r="D374" s="19">
        <v>223000</v>
      </c>
      <c r="E374" s="19">
        <v>0</v>
      </c>
      <c r="F374" s="19"/>
      <c r="G374" s="19">
        <v>190</v>
      </c>
      <c r="H374" s="19">
        <v>2.2</v>
      </c>
      <c r="I374" s="19"/>
      <c r="J374" s="19" t="s">
        <v>69</v>
      </c>
      <c r="K374" s="19" t="b">
        <v>0</v>
      </c>
      <c r="L374" s="15">
        <v>2017</v>
      </c>
      <c r="M374" s="16">
        <v>1160000</v>
      </c>
      <c r="N374" s="20">
        <v>41451</v>
      </c>
      <c r="O374" s="20">
        <v>41451</v>
      </c>
    </row>
    <row r="375" spans="1:15" ht="14.25">
      <c r="A375" s="17">
        <v>2013</v>
      </c>
      <c r="B375" s="18" t="s">
        <v>453</v>
      </c>
      <c r="C375" s="18" t="s">
        <v>454</v>
      </c>
      <c r="D375" s="19">
        <v>223000</v>
      </c>
      <c r="E375" s="19">
        <v>0</v>
      </c>
      <c r="F375" s="19"/>
      <c r="G375" s="19">
        <v>540</v>
      </c>
      <c r="H375" s="19" t="s">
        <v>106</v>
      </c>
      <c r="I375" s="19" t="s">
        <v>460</v>
      </c>
      <c r="J375" s="19" t="s">
        <v>107</v>
      </c>
      <c r="K375" s="19" t="b">
        <v>0</v>
      </c>
      <c r="L375" s="15">
        <v>2019</v>
      </c>
      <c r="M375" s="16">
        <v>266</v>
      </c>
      <c r="N375" s="20">
        <v>41451</v>
      </c>
      <c r="O375" s="20">
        <v>41451</v>
      </c>
    </row>
    <row r="376" spans="1:15" ht="14.25">
      <c r="A376" s="17">
        <v>2013</v>
      </c>
      <c r="B376" s="18" t="s">
        <v>453</v>
      </c>
      <c r="C376" s="18" t="s">
        <v>454</v>
      </c>
      <c r="D376" s="19">
        <v>223000</v>
      </c>
      <c r="E376" s="19">
        <v>0</v>
      </c>
      <c r="F376" s="19"/>
      <c r="G376" s="19">
        <v>30</v>
      </c>
      <c r="H376" s="19" t="s">
        <v>41</v>
      </c>
      <c r="I376" s="19"/>
      <c r="J376" s="19" t="s">
        <v>42</v>
      </c>
      <c r="K376" s="19" t="b">
        <v>1</v>
      </c>
      <c r="L376" s="15">
        <v>2019</v>
      </c>
      <c r="M376" s="16">
        <v>31000000</v>
      </c>
      <c r="N376" s="20">
        <v>41451</v>
      </c>
      <c r="O376" s="20">
        <v>41451</v>
      </c>
    </row>
    <row r="377" spans="1:15" ht="14.25">
      <c r="A377" s="17">
        <v>2013</v>
      </c>
      <c r="B377" s="18" t="s">
        <v>453</v>
      </c>
      <c r="C377" s="18" t="s">
        <v>454</v>
      </c>
      <c r="D377" s="19">
        <v>223000</v>
      </c>
      <c r="E377" s="19">
        <v>0</v>
      </c>
      <c r="F377" s="19"/>
      <c r="G377" s="19">
        <v>690</v>
      </c>
      <c r="H377" s="19" t="s">
        <v>125</v>
      </c>
      <c r="I377" s="19"/>
      <c r="J377" s="19" t="s">
        <v>126</v>
      </c>
      <c r="K377" s="19" t="b">
        <v>1</v>
      </c>
      <c r="L377" s="15">
        <v>2014</v>
      </c>
      <c r="M377" s="16">
        <v>408</v>
      </c>
      <c r="N377" s="20">
        <v>41451</v>
      </c>
      <c r="O377" s="20">
        <v>41451</v>
      </c>
    </row>
    <row r="378" spans="1:15" ht="14.25">
      <c r="A378" s="17">
        <v>2013</v>
      </c>
      <c r="B378" s="18" t="s">
        <v>453</v>
      </c>
      <c r="C378" s="18" t="s">
        <v>454</v>
      </c>
      <c r="D378" s="19">
        <v>223000</v>
      </c>
      <c r="E378" s="19">
        <v>0</v>
      </c>
      <c r="F378" s="19"/>
      <c r="G378" s="19">
        <v>380</v>
      </c>
      <c r="H378" s="19">
        <v>6.2</v>
      </c>
      <c r="I378" s="19" t="s">
        <v>466</v>
      </c>
      <c r="J378" s="19" t="s">
        <v>90</v>
      </c>
      <c r="K378" s="19" t="b">
        <v>0</v>
      </c>
      <c r="L378" s="15">
        <v>2022</v>
      </c>
      <c r="M378" s="16">
        <v>0.0619</v>
      </c>
      <c r="N378" s="20">
        <v>41451</v>
      </c>
      <c r="O378" s="20">
        <v>41451</v>
      </c>
    </row>
    <row r="379" spans="1:15" ht="14.25">
      <c r="A379" s="17">
        <v>2013</v>
      </c>
      <c r="B379" s="18" t="s">
        <v>453</v>
      </c>
      <c r="C379" s="18" t="s">
        <v>454</v>
      </c>
      <c r="D379" s="19">
        <v>223000</v>
      </c>
      <c r="E379" s="19">
        <v>0</v>
      </c>
      <c r="F379" s="19"/>
      <c r="G379" s="19">
        <v>300</v>
      </c>
      <c r="H379" s="19">
        <v>5</v>
      </c>
      <c r="I379" s="19" t="s">
        <v>458</v>
      </c>
      <c r="J379" s="19" t="s">
        <v>80</v>
      </c>
      <c r="K379" s="19" t="b">
        <v>0</v>
      </c>
      <c r="L379" s="15">
        <v>2022</v>
      </c>
      <c r="M379" s="16">
        <v>2154468</v>
      </c>
      <c r="N379" s="20">
        <v>41451</v>
      </c>
      <c r="O379" s="20">
        <v>41451</v>
      </c>
    </row>
    <row r="380" spans="1:15" ht="14.25">
      <c r="A380" s="17">
        <v>2013</v>
      </c>
      <c r="B380" s="18" t="s">
        <v>453</v>
      </c>
      <c r="C380" s="18" t="s">
        <v>454</v>
      </c>
      <c r="D380" s="19">
        <v>223000</v>
      </c>
      <c r="E380" s="19">
        <v>0</v>
      </c>
      <c r="F380" s="19"/>
      <c r="G380" s="19">
        <v>90</v>
      </c>
      <c r="H380" s="19">
        <v>1.2</v>
      </c>
      <c r="I380" s="19"/>
      <c r="J380" s="19" t="s">
        <v>53</v>
      </c>
      <c r="K380" s="19" t="b">
        <v>1</v>
      </c>
      <c r="L380" s="15">
        <v>2018</v>
      </c>
      <c r="M380" s="16">
        <v>1660000</v>
      </c>
      <c r="N380" s="20">
        <v>41451</v>
      </c>
      <c r="O380" s="20">
        <v>41451</v>
      </c>
    </row>
    <row r="381" spans="1:15" ht="14.25">
      <c r="A381" s="17">
        <v>2013</v>
      </c>
      <c r="B381" s="18" t="s">
        <v>453</v>
      </c>
      <c r="C381" s="18" t="s">
        <v>454</v>
      </c>
      <c r="D381" s="19">
        <v>223000</v>
      </c>
      <c r="E381" s="19">
        <v>0</v>
      </c>
      <c r="F381" s="19"/>
      <c r="G381" s="19">
        <v>480</v>
      </c>
      <c r="H381" s="19">
        <v>9.4</v>
      </c>
      <c r="I381" s="19" t="s">
        <v>461</v>
      </c>
      <c r="J381" s="19" t="s">
        <v>97</v>
      </c>
      <c r="K381" s="19" t="b">
        <v>0</v>
      </c>
      <c r="L381" s="15">
        <v>2020</v>
      </c>
      <c r="M381" s="16">
        <v>0.0373</v>
      </c>
      <c r="N381" s="20">
        <v>41451</v>
      </c>
      <c r="O381" s="20">
        <v>41451</v>
      </c>
    </row>
    <row r="382" spans="1:15" ht="14.25">
      <c r="A382" s="17">
        <v>2013</v>
      </c>
      <c r="B382" s="18" t="s">
        <v>453</v>
      </c>
      <c r="C382" s="18" t="s">
        <v>454</v>
      </c>
      <c r="D382" s="19">
        <v>223000</v>
      </c>
      <c r="E382" s="19">
        <v>0</v>
      </c>
      <c r="F382" s="19"/>
      <c r="G382" s="19">
        <v>40</v>
      </c>
      <c r="H382" s="19" t="s">
        <v>43</v>
      </c>
      <c r="I382" s="19"/>
      <c r="J382" s="19" t="s">
        <v>44</v>
      </c>
      <c r="K382" s="19" t="b">
        <v>1</v>
      </c>
      <c r="L382" s="15">
        <v>2013</v>
      </c>
      <c r="M382" s="16">
        <v>2283136</v>
      </c>
      <c r="N382" s="20">
        <v>41451</v>
      </c>
      <c r="O382" s="20">
        <v>41451</v>
      </c>
    </row>
    <row r="383" spans="1:15" ht="14.25">
      <c r="A383" s="17">
        <v>2013</v>
      </c>
      <c r="B383" s="18" t="s">
        <v>453</v>
      </c>
      <c r="C383" s="18" t="s">
        <v>454</v>
      </c>
      <c r="D383" s="19">
        <v>223000</v>
      </c>
      <c r="E383" s="19">
        <v>0</v>
      </c>
      <c r="F383" s="19"/>
      <c r="G383" s="19">
        <v>130</v>
      </c>
      <c r="H383" s="19">
        <v>2.1</v>
      </c>
      <c r="I383" s="19"/>
      <c r="J383" s="19" t="s">
        <v>58</v>
      </c>
      <c r="K383" s="19" t="b">
        <v>1</v>
      </c>
      <c r="L383" s="15">
        <v>2016</v>
      </c>
      <c r="M383" s="16">
        <v>77354737</v>
      </c>
      <c r="N383" s="20">
        <v>41451</v>
      </c>
      <c r="O383" s="20">
        <v>41451</v>
      </c>
    </row>
    <row r="384" spans="1:15" ht="14.25">
      <c r="A384" s="17">
        <v>2013</v>
      </c>
      <c r="B384" s="18" t="s">
        <v>453</v>
      </c>
      <c r="C384" s="18" t="s">
        <v>454</v>
      </c>
      <c r="D384" s="19">
        <v>223000</v>
      </c>
      <c r="E384" s="19">
        <v>0</v>
      </c>
      <c r="F384" s="19"/>
      <c r="G384" s="19">
        <v>620</v>
      </c>
      <c r="H384" s="19" t="s">
        <v>116</v>
      </c>
      <c r="I384" s="19"/>
      <c r="J384" s="19" t="s">
        <v>117</v>
      </c>
      <c r="K384" s="19" t="b">
        <v>1</v>
      </c>
      <c r="L384" s="15">
        <v>2014</v>
      </c>
      <c r="M384" s="16">
        <v>15902403</v>
      </c>
      <c r="N384" s="20">
        <v>41451</v>
      </c>
      <c r="O384" s="20">
        <v>41451</v>
      </c>
    </row>
    <row r="385" spans="1:15" ht="14.25">
      <c r="A385" s="17">
        <v>2013</v>
      </c>
      <c r="B385" s="18" t="s">
        <v>453</v>
      </c>
      <c r="C385" s="18" t="s">
        <v>454</v>
      </c>
      <c r="D385" s="19">
        <v>223000</v>
      </c>
      <c r="E385" s="19">
        <v>0</v>
      </c>
      <c r="F385" s="19"/>
      <c r="G385" s="19">
        <v>530</v>
      </c>
      <c r="H385" s="19">
        <v>9.8</v>
      </c>
      <c r="I385" s="19" t="s">
        <v>462</v>
      </c>
      <c r="J385" s="19" t="s">
        <v>105</v>
      </c>
      <c r="K385" s="19" t="b">
        <v>0</v>
      </c>
      <c r="L385" s="15">
        <v>2016</v>
      </c>
      <c r="M385" s="16">
        <v>1331</v>
      </c>
      <c r="N385" s="20">
        <v>41451</v>
      </c>
      <c r="O385" s="20">
        <v>41451</v>
      </c>
    </row>
    <row r="386" spans="1:15" ht="14.25">
      <c r="A386" s="17">
        <v>2013</v>
      </c>
      <c r="B386" s="18" t="s">
        <v>453</v>
      </c>
      <c r="C386" s="18" t="s">
        <v>454</v>
      </c>
      <c r="D386" s="19">
        <v>223000</v>
      </c>
      <c r="E386" s="19">
        <v>0</v>
      </c>
      <c r="F386" s="19"/>
      <c r="G386" s="19">
        <v>580</v>
      </c>
      <c r="H386" s="19">
        <v>11.1</v>
      </c>
      <c r="I386" s="19"/>
      <c r="J386" s="19" t="s">
        <v>111</v>
      </c>
      <c r="K386" s="19" t="b">
        <v>0</v>
      </c>
      <c r="L386" s="15">
        <v>2016</v>
      </c>
      <c r="M386" s="16">
        <v>31000000</v>
      </c>
      <c r="N386" s="20">
        <v>41451</v>
      </c>
      <c r="O386" s="20">
        <v>41451</v>
      </c>
    </row>
    <row r="387" spans="1:15" ht="14.25">
      <c r="A387" s="17">
        <v>2013</v>
      </c>
      <c r="B387" s="18" t="s">
        <v>453</v>
      </c>
      <c r="C387" s="18" t="s">
        <v>454</v>
      </c>
      <c r="D387" s="19">
        <v>223000</v>
      </c>
      <c r="E387" s="19">
        <v>0</v>
      </c>
      <c r="F387" s="19"/>
      <c r="G387" s="19">
        <v>180</v>
      </c>
      <c r="H387" s="19" t="s">
        <v>67</v>
      </c>
      <c r="I387" s="19"/>
      <c r="J387" s="19" t="s">
        <v>68</v>
      </c>
      <c r="K387" s="19" t="b">
        <v>0</v>
      </c>
      <c r="L387" s="15">
        <v>2024</v>
      </c>
      <c r="M387" s="16">
        <v>137557</v>
      </c>
      <c r="N387" s="20">
        <v>41451</v>
      </c>
      <c r="O387" s="20">
        <v>41451</v>
      </c>
    </row>
    <row r="388" spans="1:15" ht="14.25">
      <c r="A388" s="17">
        <v>2013</v>
      </c>
      <c r="B388" s="18" t="s">
        <v>453</v>
      </c>
      <c r="C388" s="18" t="s">
        <v>454</v>
      </c>
      <c r="D388" s="19">
        <v>223000</v>
      </c>
      <c r="E388" s="19">
        <v>0</v>
      </c>
      <c r="F388" s="19"/>
      <c r="G388" s="19">
        <v>80</v>
      </c>
      <c r="H388" s="19" t="s">
        <v>51</v>
      </c>
      <c r="I388" s="19"/>
      <c r="J388" s="19" t="s">
        <v>52</v>
      </c>
      <c r="K388" s="19" t="b">
        <v>1</v>
      </c>
      <c r="L388" s="15">
        <v>2024</v>
      </c>
      <c r="M388" s="16">
        <v>15900000</v>
      </c>
      <c r="N388" s="20">
        <v>41451</v>
      </c>
      <c r="O388" s="20">
        <v>41451</v>
      </c>
    </row>
    <row r="389" spans="1:15" ht="14.25">
      <c r="A389" s="17">
        <v>2013</v>
      </c>
      <c r="B389" s="18" t="s">
        <v>453</v>
      </c>
      <c r="C389" s="18" t="s">
        <v>454</v>
      </c>
      <c r="D389" s="19">
        <v>223000</v>
      </c>
      <c r="E389" s="19">
        <v>0</v>
      </c>
      <c r="F389" s="19"/>
      <c r="G389" s="19">
        <v>170</v>
      </c>
      <c r="H389" s="19" t="s">
        <v>65</v>
      </c>
      <c r="I389" s="19"/>
      <c r="J389" s="19" t="s">
        <v>66</v>
      </c>
      <c r="K389" s="19" t="b">
        <v>1</v>
      </c>
      <c r="L389" s="15">
        <v>2023</v>
      </c>
      <c r="M389" s="16">
        <v>238619</v>
      </c>
      <c r="N389" s="20">
        <v>41451</v>
      </c>
      <c r="O389" s="20">
        <v>41451</v>
      </c>
    </row>
    <row r="390" spans="1:15" ht="14.25">
      <c r="A390" s="17">
        <v>2013</v>
      </c>
      <c r="B390" s="18" t="s">
        <v>453</v>
      </c>
      <c r="C390" s="18" t="s">
        <v>454</v>
      </c>
      <c r="D390" s="19">
        <v>223000</v>
      </c>
      <c r="E390" s="19">
        <v>0</v>
      </c>
      <c r="F390" s="19"/>
      <c r="G390" s="19">
        <v>540</v>
      </c>
      <c r="H390" s="19" t="s">
        <v>106</v>
      </c>
      <c r="I390" s="19" t="s">
        <v>460</v>
      </c>
      <c r="J390" s="19" t="s">
        <v>107</v>
      </c>
      <c r="K390" s="19" t="b">
        <v>0</v>
      </c>
      <c r="L390" s="15">
        <v>2020</v>
      </c>
      <c r="M390" s="16">
        <v>50</v>
      </c>
      <c r="N390" s="20">
        <v>41451</v>
      </c>
      <c r="O390" s="20">
        <v>41451</v>
      </c>
    </row>
    <row r="391" spans="1:15" ht="14.25">
      <c r="A391" s="17">
        <v>2013</v>
      </c>
      <c r="B391" s="18" t="s">
        <v>453</v>
      </c>
      <c r="C391" s="18" t="s">
        <v>454</v>
      </c>
      <c r="D391" s="19">
        <v>223000</v>
      </c>
      <c r="E391" s="19">
        <v>0</v>
      </c>
      <c r="F391" s="19"/>
      <c r="G391" s="19">
        <v>100</v>
      </c>
      <c r="H391" s="19" t="s">
        <v>54</v>
      </c>
      <c r="I391" s="19"/>
      <c r="J391" s="19" t="s">
        <v>55</v>
      </c>
      <c r="K391" s="19" t="b">
        <v>1</v>
      </c>
      <c r="L391" s="15">
        <v>2015</v>
      </c>
      <c r="M391" s="16">
        <v>13600000</v>
      </c>
      <c r="N391" s="20">
        <v>41451</v>
      </c>
      <c r="O391" s="20">
        <v>41451</v>
      </c>
    </row>
    <row r="392" spans="1:15" ht="14.25">
      <c r="A392" s="17">
        <v>2013</v>
      </c>
      <c r="B392" s="18" t="s">
        <v>453</v>
      </c>
      <c r="C392" s="18" t="s">
        <v>454</v>
      </c>
      <c r="D392" s="19">
        <v>223000</v>
      </c>
      <c r="E392" s="19">
        <v>0</v>
      </c>
      <c r="F392" s="19"/>
      <c r="G392" s="19">
        <v>480</v>
      </c>
      <c r="H392" s="19">
        <v>9.4</v>
      </c>
      <c r="I392" s="19" t="s">
        <v>461</v>
      </c>
      <c r="J392" s="19" t="s">
        <v>97</v>
      </c>
      <c r="K392" s="19" t="b">
        <v>0</v>
      </c>
      <c r="L392" s="15">
        <v>2017</v>
      </c>
      <c r="M392" s="16">
        <v>0.0436</v>
      </c>
      <c r="N392" s="20">
        <v>41451</v>
      </c>
      <c r="O392" s="20">
        <v>41451</v>
      </c>
    </row>
    <row r="393" spans="1:15" ht="14.25">
      <c r="A393" s="17">
        <v>2013</v>
      </c>
      <c r="B393" s="18" t="s">
        <v>453</v>
      </c>
      <c r="C393" s="18" t="s">
        <v>454</v>
      </c>
      <c r="D393" s="19">
        <v>223000</v>
      </c>
      <c r="E393" s="19">
        <v>0</v>
      </c>
      <c r="F393" s="19"/>
      <c r="G393" s="19">
        <v>505</v>
      </c>
      <c r="H393" s="19" t="s">
        <v>100</v>
      </c>
      <c r="I393" s="19" t="s">
        <v>464</v>
      </c>
      <c r="J393" s="19" t="s">
        <v>101</v>
      </c>
      <c r="K393" s="19" t="b">
        <v>0</v>
      </c>
      <c r="L393" s="15">
        <v>2026</v>
      </c>
      <c r="M393" s="16">
        <v>0.0129</v>
      </c>
      <c r="N393" s="20">
        <v>41451</v>
      </c>
      <c r="O393" s="20">
        <v>41451</v>
      </c>
    </row>
    <row r="394" spans="1:15" ht="14.25">
      <c r="A394" s="17">
        <v>2013</v>
      </c>
      <c r="B394" s="18" t="s">
        <v>453</v>
      </c>
      <c r="C394" s="18" t="s">
        <v>454</v>
      </c>
      <c r="D394" s="19">
        <v>223000</v>
      </c>
      <c r="E394" s="19">
        <v>0</v>
      </c>
      <c r="F394" s="19"/>
      <c r="G394" s="19">
        <v>90</v>
      </c>
      <c r="H394" s="19">
        <v>1.2</v>
      </c>
      <c r="I394" s="19"/>
      <c r="J394" s="19" t="s">
        <v>53</v>
      </c>
      <c r="K394" s="19" t="b">
        <v>1</v>
      </c>
      <c r="L394" s="15">
        <v>2026</v>
      </c>
      <c r="M394" s="16">
        <v>1160000</v>
      </c>
      <c r="N394" s="20">
        <v>41451</v>
      </c>
      <c r="O394" s="20">
        <v>41451</v>
      </c>
    </row>
    <row r="395" spans="1:15" ht="14.25">
      <c r="A395" s="17">
        <v>2013</v>
      </c>
      <c r="B395" s="18" t="s">
        <v>453</v>
      </c>
      <c r="C395" s="18" t="s">
        <v>454</v>
      </c>
      <c r="D395" s="19">
        <v>223000</v>
      </c>
      <c r="E395" s="19">
        <v>0</v>
      </c>
      <c r="F395" s="19"/>
      <c r="G395" s="19">
        <v>100</v>
      </c>
      <c r="H395" s="19" t="s">
        <v>54</v>
      </c>
      <c r="I395" s="19"/>
      <c r="J395" s="19" t="s">
        <v>55</v>
      </c>
      <c r="K395" s="19" t="b">
        <v>1</v>
      </c>
      <c r="L395" s="15">
        <v>2019</v>
      </c>
      <c r="M395" s="16">
        <v>1160000</v>
      </c>
      <c r="N395" s="20">
        <v>41451</v>
      </c>
      <c r="O395" s="20">
        <v>41451</v>
      </c>
    </row>
    <row r="396" spans="1:15" ht="14.25">
      <c r="A396" s="17">
        <v>2013</v>
      </c>
      <c r="B396" s="18" t="s">
        <v>453</v>
      </c>
      <c r="C396" s="18" t="s">
        <v>454</v>
      </c>
      <c r="D396" s="19">
        <v>223000</v>
      </c>
      <c r="E396" s="19">
        <v>0</v>
      </c>
      <c r="F396" s="19"/>
      <c r="G396" s="19">
        <v>180</v>
      </c>
      <c r="H396" s="19" t="s">
        <v>67</v>
      </c>
      <c r="I396" s="19"/>
      <c r="J396" s="19" t="s">
        <v>68</v>
      </c>
      <c r="K396" s="19" t="b">
        <v>0</v>
      </c>
      <c r="L396" s="15">
        <v>2015</v>
      </c>
      <c r="M396" s="16">
        <v>1350501</v>
      </c>
      <c r="N396" s="20">
        <v>41451</v>
      </c>
      <c r="O396" s="20">
        <v>41451</v>
      </c>
    </row>
    <row r="397" spans="1:15" ht="14.25">
      <c r="A397" s="17">
        <v>2013</v>
      </c>
      <c r="B397" s="18" t="s">
        <v>453</v>
      </c>
      <c r="C397" s="18" t="s">
        <v>454</v>
      </c>
      <c r="D397" s="19">
        <v>223000</v>
      </c>
      <c r="E397" s="19">
        <v>0</v>
      </c>
      <c r="F397" s="19"/>
      <c r="G397" s="19">
        <v>510</v>
      </c>
      <c r="H397" s="19">
        <v>9.7</v>
      </c>
      <c r="I397" s="19"/>
      <c r="J397" s="19" t="s">
        <v>473</v>
      </c>
      <c r="K397" s="19" t="b">
        <v>1</v>
      </c>
      <c r="L397" s="15">
        <v>2025</v>
      </c>
      <c r="M397" s="16">
        <v>0.0324</v>
      </c>
      <c r="N397" s="20">
        <v>41451</v>
      </c>
      <c r="O397" s="20">
        <v>41451</v>
      </c>
    </row>
    <row r="398" spans="1:15" ht="14.25">
      <c r="A398" s="17">
        <v>2013</v>
      </c>
      <c r="B398" s="18" t="s">
        <v>453</v>
      </c>
      <c r="C398" s="18" t="s">
        <v>454</v>
      </c>
      <c r="D398" s="19">
        <v>223000</v>
      </c>
      <c r="E398" s="19">
        <v>0</v>
      </c>
      <c r="F398" s="19"/>
      <c r="G398" s="19">
        <v>180</v>
      </c>
      <c r="H398" s="19" t="s">
        <v>67</v>
      </c>
      <c r="I398" s="19"/>
      <c r="J398" s="19" t="s">
        <v>68</v>
      </c>
      <c r="K398" s="19" t="b">
        <v>0</v>
      </c>
      <c r="L398" s="15">
        <v>2016</v>
      </c>
      <c r="M398" s="16">
        <v>1209652</v>
      </c>
      <c r="N398" s="20">
        <v>41451</v>
      </c>
      <c r="O398" s="20">
        <v>41451</v>
      </c>
    </row>
    <row r="399" spans="1:15" ht="14.25">
      <c r="A399" s="17">
        <v>2013</v>
      </c>
      <c r="B399" s="18" t="s">
        <v>453</v>
      </c>
      <c r="C399" s="18" t="s">
        <v>454</v>
      </c>
      <c r="D399" s="19">
        <v>223000</v>
      </c>
      <c r="E399" s="19">
        <v>0</v>
      </c>
      <c r="F399" s="19"/>
      <c r="G399" s="19">
        <v>430</v>
      </c>
      <c r="H399" s="19">
        <v>8.2</v>
      </c>
      <c r="I399" s="19" t="s">
        <v>471</v>
      </c>
      <c r="J399" s="19" t="s">
        <v>94</v>
      </c>
      <c r="K399" s="19" t="b">
        <v>0</v>
      </c>
      <c r="L399" s="15">
        <v>2014</v>
      </c>
      <c r="M399" s="16">
        <v>102403</v>
      </c>
      <c r="N399" s="20">
        <v>41451</v>
      </c>
      <c r="O399" s="20">
        <v>41451</v>
      </c>
    </row>
    <row r="400" spans="1:15" ht="14.25">
      <c r="A400" s="17">
        <v>2013</v>
      </c>
      <c r="B400" s="18" t="s">
        <v>453</v>
      </c>
      <c r="C400" s="18" t="s">
        <v>454</v>
      </c>
      <c r="D400" s="19">
        <v>223000</v>
      </c>
      <c r="E400" s="19">
        <v>0</v>
      </c>
      <c r="F400" s="19"/>
      <c r="G400" s="19">
        <v>540</v>
      </c>
      <c r="H400" s="19" t="s">
        <v>106</v>
      </c>
      <c r="I400" s="19" t="s">
        <v>460</v>
      </c>
      <c r="J400" s="19" t="s">
        <v>107</v>
      </c>
      <c r="K400" s="19" t="b">
        <v>0</v>
      </c>
      <c r="L400" s="15">
        <v>2026</v>
      </c>
      <c r="M400" s="16">
        <v>201</v>
      </c>
      <c r="N400" s="20">
        <v>41451</v>
      </c>
      <c r="O400" s="20">
        <v>41451</v>
      </c>
    </row>
    <row r="401" spans="1:15" ht="14.25">
      <c r="A401" s="17">
        <v>2013</v>
      </c>
      <c r="B401" s="18" t="s">
        <v>453</v>
      </c>
      <c r="C401" s="18" t="s">
        <v>454</v>
      </c>
      <c r="D401" s="19">
        <v>223000</v>
      </c>
      <c r="E401" s="19">
        <v>0</v>
      </c>
      <c r="F401" s="19"/>
      <c r="G401" s="19">
        <v>20</v>
      </c>
      <c r="H401" s="19">
        <v>1.1</v>
      </c>
      <c r="I401" s="19"/>
      <c r="J401" s="19" t="s">
        <v>40</v>
      </c>
      <c r="K401" s="19" t="b">
        <v>1</v>
      </c>
      <c r="L401" s="15">
        <v>2023</v>
      </c>
      <c r="M401" s="16">
        <v>85619531</v>
      </c>
      <c r="N401" s="20">
        <v>41451</v>
      </c>
      <c r="O401" s="20">
        <v>41451</v>
      </c>
    </row>
    <row r="402" spans="1:15" ht="14.25">
      <c r="A402" s="17">
        <v>2013</v>
      </c>
      <c r="B402" s="18" t="s">
        <v>453</v>
      </c>
      <c r="C402" s="18" t="s">
        <v>454</v>
      </c>
      <c r="D402" s="19">
        <v>223000</v>
      </c>
      <c r="E402" s="19">
        <v>0</v>
      </c>
      <c r="F402" s="19"/>
      <c r="G402" s="19">
        <v>520</v>
      </c>
      <c r="H402" s="19" t="s">
        <v>103</v>
      </c>
      <c r="I402" s="19"/>
      <c r="J402" s="19" t="s">
        <v>470</v>
      </c>
      <c r="K402" s="19" t="b">
        <v>1</v>
      </c>
      <c r="L402" s="15">
        <v>2020</v>
      </c>
      <c r="M402" s="16">
        <v>0.0423</v>
      </c>
      <c r="N402" s="20">
        <v>41451</v>
      </c>
      <c r="O402" s="20">
        <v>41451</v>
      </c>
    </row>
    <row r="403" spans="1:15" ht="14.25">
      <c r="A403" s="17">
        <v>2013</v>
      </c>
      <c r="B403" s="18" t="s">
        <v>453</v>
      </c>
      <c r="C403" s="18" t="s">
        <v>454</v>
      </c>
      <c r="D403" s="19">
        <v>223000</v>
      </c>
      <c r="E403" s="19">
        <v>0</v>
      </c>
      <c r="F403" s="19"/>
      <c r="G403" s="19">
        <v>540</v>
      </c>
      <c r="H403" s="19" t="s">
        <v>106</v>
      </c>
      <c r="I403" s="19" t="s">
        <v>460</v>
      </c>
      <c r="J403" s="19" t="s">
        <v>107</v>
      </c>
      <c r="K403" s="19" t="b">
        <v>0</v>
      </c>
      <c r="L403" s="15">
        <v>2024</v>
      </c>
      <c r="M403" s="16">
        <v>80</v>
      </c>
      <c r="N403" s="20">
        <v>41451</v>
      </c>
      <c r="O403" s="20">
        <v>41451</v>
      </c>
    </row>
    <row r="404" spans="1:15" ht="14.25">
      <c r="A404" s="17">
        <v>2013</v>
      </c>
      <c r="B404" s="18" t="s">
        <v>453</v>
      </c>
      <c r="C404" s="18" t="s">
        <v>454</v>
      </c>
      <c r="D404" s="19">
        <v>223000</v>
      </c>
      <c r="E404" s="19">
        <v>0</v>
      </c>
      <c r="F404" s="19"/>
      <c r="G404" s="19">
        <v>170</v>
      </c>
      <c r="H404" s="19" t="s">
        <v>65</v>
      </c>
      <c r="I404" s="19"/>
      <c r="J404" s="19" t="s">
        <v>66</v>
      </c>
      <c r="K404" s="19" t="b">
        <v>1</v>
      </c>
      <c r="L404" s="15">
        <v>2019</v>
      </c>
      <c r="M404" s="16">
        <v>786714</v>
      </c>
      <c r="N404" s="20">
        <v>41451</v>
      </c>
      <c r="O404" s="20">
        <v>41451</v>
      </c>
    </row>
    <row r="405" spans="1:15" ht="14.25">
      <c r="A405" s="17">
        <v>2013</v>
      </c>
      <c r="B405" s="18" t="s">
        <v>453</v>
      </c>
      <c r="C405" s="18" t="s">
        <v>454</v>
      </c>
      <c r="D405" s="19">
        <v>223000</v>
      </c>
      <c r="E405" s="19">
        <v>0</v>
      </c>
      <c r="F405" s="19"/>
      <c r="G405" s="19">
        <v>580</v>
      </c>
      <c r="H405" s="19">
        <v>11.1</v>
      </c>
      <c r="I405" s="19"/>
      <c r="J405" s="19" t="s">
        <v>111</v>
      </c>
      <c r="K405" s="19" t="b">
        <v>0</v>
      </c>
      <c r="L405" s="15">
        <v>2026</v>
      </c>
      <c r="M405" s="16">
        <v>36600000</v>
      </c>
      <c r="N405" s="20">
        <v>41451</v>
      </c>
      <c r="O405" s="20">
        <v>41451</v>
      </c>
    </row>
    <row r="406" spans="1:15" ht="14.25">
      <c r="A406" s="17">
        <v>2013</v>
      </c>
      <c r="B406" s="18" t="s">
        <v>453</v>
      </c>
      <c r="C406" s="18" t="s">
        <v>454</v>
      </c>
      <c r="D406" s="19">
        <v>223000</v>
      </c>
      <c r="E406" s="19">
        <v>0</v>
      </c>
      <c r="F406" s="19"/>
      <c r="G406" s="19">
        <v>470</v>
      </c>
      <c r="H406" s="19">
        <v>9.3</v>
      </c>
      <c r="I406" s="19" t="s">
        <v>459</v>
      </c>
      <c r="J406" s="19" t="s">
        <v>467</v>
      </c>
      <c r="K406" s="19" t="b">
        <v>1</v>
      </c>
      <c r="L406" s="15">
        <v>2022</v>
      </c>
      <c r="M406" s="16">
        <v>0.0293</v>
      </c>
      <c r="N406" s="20">
        <v>41451</v>
      </c>
      <c r="O406" s="20">
        <v>41451</v>
      </c>
    </row>
    <row r="407" spans="1:15" ht="14.25">
      <c r="A407" s="17">
        <v>2013</v>
      </c>
      <c r="B407" s="18" t="s">
        <v>453</v>
      </c>
      <c r="C407" s="18" t="s">
        <v>454</v>
      </c>
      <c r="D407" s="19">
        <v>223000</v>
      </c>
      <c r="E407" s="19">
        <v>0</v>
      </c>
      <c r="F407" s="19"/>
      <c r="G407" s="19">
        <v>50</v>
      </c>
      <c r="H407" s="19" t="s">
        <v>45</v>
      </c>
      <c r="I407" s="19"/>
      <c r="J407" s="19" t="s">
        <v>46</v>
      </c>
      <c r="K407" s="19" t="b">
        <v>1</v>
      </c>
      <c r="L407" s="15">
        <v>2021</v>
      </c>
      <c r="M407" s="16">
        <v>7450000</v>
      </c>
      <c r="N407" s="20">
        <v>41451</v>
      </c>
      <c r="O407" s="20">
        <v>41451</v>
      </c>
    </row>
    <row r="408" spans="1:15" ht="14.25">
      <c r="A408" s="17">
        <v>2013</v>
      </c>
      <c r="B408" s="18" t="s">
        <v>453</v>
      </c>
      <c r="C408" s="18" t="s">
        <v>454</v>
      </c>
      <c r="D408" s="19">
        <v>223000</v>
      </c>
      <c r="E408" s="19">
        <v>0</v>
      </c>
      <c r="F408" s="19"/>
      <c r="G408" s="19">
        <v>30</v>
      </c>
      <c r="H408" s="19" t="s">
        <v>41</v>
      </c>
      <c r="I408" s="19"/>
      <c r="J408" s="19" t="s">
        <v>42</v>
      </c>
      <c r="K408" s="19" t="b">
        <v>1</v>
      </c>
      <c r="L408" s="15">
        <v>2014</v>
      </c>
      <c r="M408" s="16">
        <v>27000000</v>
      </c>
      <c r="N408" s="20">
        <v>41451</v>
      </c>
      <c r="O408" s="20">
        <v>41451</v>
      </c>
    </row>
    <row r="409" spans="1:15" ht="14.25">
      <c r="A409" s="17">
        <v>2013</v>
      </c>
      <c r="B409" s="18" t="s">
        <v>453</v>
      </c>
      <c r="C409" s="18" t="s">
        <v>454</v>
      </c>
      <c r="D409" s="19">
        <v>223000</v>
      </c>
      <c r="E409" s="19">
        <v>0</v>
      </c>
      <c r="F409" s="19"/>
      <c r="G409" s="19">
        <v>505</v>
      </c>
      <c r="H409" s="19" t="s">
        <v>100</v>
      </c>
      <c r="I409" s="19" t="s">
        <v>464</v>
      </c>
      <c r="J409" s="19" t="s">
        <v>101</v>
      </c>
      <c r="K409" s="19" t="b">
        <v>0</v>
      </c>
      <c r="L409" s="15">
        <v>2020</v>
      </c>
      <c r="M409" s="16">
        <v>0.0375</v>
      </c>
      <c r="N409" s="20">
        <v>41451</v>
      </c>
      <c r="O409" s="20">
        <v>41451</v>
      </c>
    </row>
    <row r="410" spans="1:15" ht="14.25">
      <c r="A410" s="17">
        <v>2013</v>
      </c>
      <c r="B410" s="18" t="s">
        <v>453</v>
      </c>
      <c r="C410" s="18" t="s">
        <v>454</v>
      </c>
      <c r="D410" s="19">
        <v>223000</v>
      </c>
      <c r="E410" s="19">
        <v>0</v>
      </c>
      <c r="F410" s="19"/>
      <c r="G410" s="19">
        <v>460</v>
      </c>
      <c r="H410" s="19">
        <v>9.2</v>
      </c>
      <c r="I410" s="19" t="s">
        <v>461</v>
      </c>
      <c r="J410" s="19" t="s">
        <v>96</v>
      </c>
      <c r="K410" s="19" t="b">
        <v>0</v>
      </c>
      <c r="L410" s="15">
        <v>2021</v>
      </c>
      <c r="M410" s="16">
        <v>0.0353</v>
      </c>
      <c r="N410" s="20">
        <v>41451</v>
      </c>
      <c r="O410" s="20">
        <v>41451</v>
      </c>
    </row>
    <row r="411" spans="1:15" ht="14.25">
      <c r="A411" s="17">
        <v>2013</v>
      </c>
      <c r="B411" s="18" t="s">
        <v>453</v>
      </c>
      <c r="C411" s="18" t="s">
        <v>454</v>
      </c>
      <c r="D411" s="19">
        <v>223000</v>
      </c>
      <c r="E411" s="19">
        <v>0</v>
      </c>
      <c r="F411" s="19"/>
      <c r="G411" s="19">
        <v>10</v>
      </c>
      <c r="H411" s="19">
        <v>1</v>
      </c>
      <c r="I411" s="19" t="s">
        <v>457</v>
      </c>
      <c r="J411" s="19" t="s">
        <v>26</v>
      </c>
      <c r="K411" s="19" t="b">
        <v>1</v>
      </c>
      <c r="L411" s="15">
        <v>2014</v>
      </c>
      <c r="M411" s="16">
        <v>97368829</v>
      </c>
      <c r="N411" s="20">
        <v>41451</v>
      </c>
      <c r="O411" s="20">
        <v>41451</v>
      </c>
    </row>
    <row r="412" spans="1:15" ht="14.25">
      <c r="A412" s="17">
        <v>2013</v>
      </c>
      <c r="B412" s="18" t="s">
        <v>453</v>
      </c>
      <c r="C412" s="18" t="s">
        <v>454</v>
      </c>
      <c r="D412" s="19">
        <v>223000</v>
      </c>
      <c r="E412" s="19">
        <v>0</v>
      </c>
      <c r="F412" s="19"/>
      <c r="G412" s="19">
        <v>190</v>
      </c>
      <c r="H412" s="19">
        <v>2.2</v>
      </c>
      <c r="I412" s="19"/>
      <c r="J412" s="19" t="s">
        <v>69</v>
      </c>
      <c r="K412" s="19" t="b">
        <v>0</v>
      </c>
      <c r="L412" s="15">
        <v>2024</v>
      </c>
      <c r="M412" s="16">
        <v>660000</v>
      </c>
      <c r="N412" s="20">
        <v>41451</v>
      </c>
      <c r="O412" s="20">
        <v>41451</v>
      </c>
    </row>
    <row r="413" spans="1:15" ht="14.25">
      <c r="A413" s="17">
        <v>2013</v>
      </c>
      <c r="B413" s="18" t="s">
        <v>453</v>
      </c>
      <c r="C413" s="18" t="s">
        <v>454</v>
      </c>
      <c r="D413" s="19">
        <v>223000</v>
      </c>
      <c r="E413" s="19">
        <v>0</v>
      </c>
      <c r="F413" s="19"/>
      <c r="G413" s="19">
        <v>470</v>
      </c>
      <c r="H413" s="19">
        <v>9.3</v>
      </c>
      <c r="I413" s="19" t="s">
        <v>459</v>
      </c>
      <c r="J413" s="19" t="s">
        <v>467</v>
      </c>
      <c r="K413" s="19" t="b">
        <v>1</v>
      </c>
      <c r="L413" s="15">
        <v>2023</v>
      </c>
      <c r="M413" s="16">
        <v>0.0276</v>
      </c>
      <c r="N413" s="20">
        <v>41451</v>
      </c>
      <c r="O413" s="20">
        <v>41451</v>
      </c>
    </row>
    <row r="414" spans="1:15" ht="14.25">
      <c r="A414" s="17">
        <v>2013</v>
      </c>
      <c r="B414" s="18" t="s">
        <v>453</v>
      </c>
      <c r="C414" s="18" t="s">
        <v>454</v>
      </c>
      <c r="D414" s="19">
        <v>223000</v>
      </c>
      <c r="E414" s="19">
        <v>0</v>
      </c>
      <c r="F414" s="19"/>
      <c r="G414" s="19">
        <v>200</v>
      </c>
      <c r="H414" s="19">
        <v>3</v>
      </c>
      <c r="I414" s="19" t="s">
        <v>455</v>
      </c>
      <c r="J414" s="19" t="s">
        <v>23</v>
      </c>
      <c r="K414" s="19" t="b">
        <v>0</v>
      </c>
      <c r="L414" s="15">
        <v>2019</v>
      </c>
      <c r="M414" s="16">
        <v>2501733</v>
      </c>
      <c r="N414" s="20">
        <v>41451</v>
      </c>
      <c r="O414" s="20">
        <v>41451</v>
      </c>
    </row>
    <row r="415" spans="1:15" ht="14.25">
      <c r="A415" s="17">
        <v>2013</v>
      </c>
      <c r="B415" s="18" t="s">
        <v>453</v>
      </c>
      <c r="C415" s="18" t="s">
        <v>454</v>
      </c>
      <c r="D415" s="19">
        <v>223000</v>
      </c>
      <c r="E415" s="19">
        <v>0</v>
      </c>
      <c r="F415" s="19"/>
      <c r="G415" s="19">
        <v>90</v>
      </c>
      <c r="H415" s="19">
        <v>1.2</v>
      </c>
      <c r="I415" s="19"/>
      <c r="J415" s="19" t="s">
        <v>53</v>
      </c>
      <c r="K415" s="19" t="b">
        <v>1</v>
      </c>
      <c r="L415" s="15">
        <v>2014</v>
      </c>
      <c r="M415" s="16">
        <v>20119922</v>
      </c>
      <c r="N415" s="20">
        <v>41451</v>
      </c>
      <c r="O415" s="20">
        <v>41451</v>
      </c>
    </row>
    <row r="416" spans="1:15" ht="14.25">
      <c r="A416" s="17">
        <v>2013</v>
      </c>
      <c r="B416" s="18" t="s">
        <v>453</v>
      </c>
      <c r="C416" s="18" t="s">
        <v>454</v>
      </c>
      <c r="D416" s="19">
        <v>223000</v>
      </c>
      <c r="E416" s="19">
        <v>0</v>
      </c>
      <c r="F416" s="19"/>
      <c r="G416" s="19">
        <v>130</v>
      </c>
      <c r="H416" s="19">
        <v>2.1</v>
      </c>
      <c r="I416" s="19"/>
      <c r="J416" s="19" t="s">
        <v>58</v>
      </c>
      <c r="K416" s="19" t="b">
        <v>1</v>
      </c>
      <c r="L416" s="15">
        <v>2026</v>
      </c>
      <c r="M416" s="16">
        <v>88500000</v>
      </c>
      <c r="N416" s="20">
        <v>41451</v>
      </c>
      <c r="O416" s="20">
        <v>41451</v>
      </c>
    </row>
    <row r="417" spans="1:15" ht="14.25">
      <c r="A417" s="17">
        <v>2013</v>
      </c>
      <c r="B417" s="18" t="s">
        <v>453</v>
      </c>
      <c r="C417" s="18" t="s">
        <v>454</v>
      </c>
      <c r="D417" s="19">
        <v>223000</v>
      </c>
      <c r="E417" s="19">
        <v>0</v>
      </c>
      <c r="F417" s="19"/>
      <c r="G417" s="19">
        <v>450</v>
      </c>
      <c r="H417" s="19">
        <v>9.1</v>
      </c>
      <c r="I417" s="19" t="s">
        <v>459</v>
      </c>
      <c r="J417" s="19" t="s">
        <v>95</v>
      </c>
      <c r="K417" s="19" t="b">
        <v>1</v>
      </c>
      <c r="L417" s="15">
        <v>2023</v>
      </c>
      <c r="M417" s="16">
        <v>0.0276</v>
      </c>
      <c r="N417" s="20">
        <v>41451</v>
      </c>
      <c r="O417" s="20">
        <v>41451</v>
      </c>
    </row>
    <row r="418" spans="1:15" ht="14.25">
      <c r="A418" s="17">
        <v>2013</v>
      </c>
      <c r="B418" s="18" t="s">
        <v>453</v>
      </c>
      <c r="C418" s="18" t="s">
        <v>454</v>
      </c>
      <c r="D418" s="19">
        <v>223000</v>
      </c>
      <c r="E418" s="19">
        <v>0</v>
      </c>
      <c r="F418" s="19"/>
      <c r="G418" s="19">
        <v>40</v>
      </c>
      <c r="H418" s="19" t="s">
        <v>43</v>
      </c>
      <c r="I418" s="19"/>
      <c r="J418" s="19" t="s">
        <v>44</v>
      </c>
      <c r="K418" s="19" t="b">
        <v>1</v>
      </c>
      <c r="L418" s="15">
        <v>2026</v>
      </c>
      <c r="M418" s="16">
        <v>3050000</v>
      </c>
      <c r="N418" s="20">
        <v>41451</v>
      </c>
      <c r="O418" s="20">
        <v>41451</v>
      </c>
    </row>
    <row r="419" spans="1:15" ht="14.25">
      <c r="A419" s="17">
        <v>2013</v>
      </c>
      <c r="B419" s="18" t="s">
        <v>453</v>
      </c>
      <c r="C419" s="18" t="s">
        <v>454</v>
      </c>
      <c r="D419" s="19">
        <v>223000</v>
      </c>
      <c r="E419" s="19">
        <v>0</v>
      </c>
      <c r="F419" s="19"/>
      <c r="G419" s="19">
        <v>20</v>
      </c>
      <c r="H419" s="19">
        <v>1.1</v>
      </c>
      <c r="I419" s="19"/>
      <c r="J419" s="19" t="s">
        <v>40</v>
      </c>
      <c r="K419" s="19" t="b">
        <v>1</v>
      </c>
      <c r="L419" s="15">
        <v>2018</v>
      </c>
      <c r="M419" s="16">
        <v>81189468</v>
      </c>
      <c r="N419" s="20">
        <v>41451</v>
      </c>
      <c r="O419" s="20">
        <v>41451</v>
      </c>
    </row>
    <row r="420" spans="1:15" ht="14.25">
      <c r="A420" s="17">
        <v>2013</v>
      </c>
      <c r="B420" s="18" t="s">
        <v>453</v>
      </c>
      <c r="C420" s="18" t="s">
        <v>454</v>
      </c>
      <c r="D420" s="19">
        <v>223000</v>
      </c>
      <c r="E420" s="19">
        <v>0</v>
      </c>
      <c r="F420" s="19"/>
      <c r="G420" s="19">
        <v>20</v>
      </c>
      <c r="H420" s="19">
        <v>1.1</v>
      </c>
      <c r="I420" s="19"/>
      <c r="J420" s="19" t="s">
        <v>40</v>
      </c>
      <c r="K420" s="19" t="b">
        <v>1</v>
      </c>
      <c r="L420" s="15">
        <v>2019</v>
      </c>
      <c r="M420" s="16">
        <v>82180975</v>
      </c>
      <c r="N420" s="20">
        <v>41451</v>
      </c>
      <c r="O420" s="20">
        <v>41451</v>
      </c>
    </row>
    <row r="421" spans="1:15" ht="14.25">
      <c r="A421" s="17">
        <v>2013</v>
      </c>
      <c r="B421" s="18" t="s">
        <v>453</v>
      </c>
      <c r="C421" s="18" t="s">
        <v>454</v>
      </c>
      <c r="D421" s="19">
        <v>223000</v>
      </c>
      <c r="E421" s="19">
        <v>0</v>
      </c>
      <c r="F421" s="19"/>
      <c r="G421" s="19">
        <v>700</v>
      </c>
      <c r="H421" s="19">
        <v>12.2</v>
      </c>
      <c r="I421" s="19"/>
      <c r="J421" s="19" t="s">
        <v>127</v>
      </c>
      <c r="K421" s="19" t="b">
        <v>0</v>
      </c>
      <c r="L421" s="15">
        <v>2013</v>
      </c>
      <c r="M421" s="16">
        <v>256273</v>
      </c>
      <c r="N421" s="20">
        <v>41451</v>
      </c>
      <c r="O421" s="20">
        <v>41451</v>
      </c>
    </row>
    <row r="422" spans="1:15" ht="14.25">
      <c r="A422" s="17">
        <v>2013</v>
      </c>
      <c r="B422" s="18" t="s">
        <v>453</v>
      </c>
      <c r="C422" s="18" t="s">
        <v>454</v>
      </c>
      <c r="D422" s="19">
        <v>223000</v>
      </c>
      <c r="E422" s="19">
        <v>0</v>
      </c>
      <c r="F422" s="19"/>
      <c r="G422" s="19">
        <v>310</v>
      </c>
      <c r="H422" s="19">
        <v>5.1</v>
      </c>
      <c r="I422" s="19"/>
      <c r="J422" s="19" t="s">
        <v>81</v>
      </c>
      <c r="K422" s="19" t="b">
        <v>1</v>
      </c>
      <c r="L422" s="15">
        <v>2016</v>
      </c>
      <c r="M422" s="16">
        <v>2501733</v>
      </c>
      <c r="N422" s="20">
        <v>41451</v>
      </c>
      <c r="O422" s="20">
        <v>41451</v>
      </c>
    </row>
    <row r="423" spans="1:15" ht="14.25">
      <c r="A423" s="17">
        <v>2013</v>
      </c>
      <c r="B423" s="18" t="s">
        <v>453</v>
      </c>
      <c r="C423" s="18" t="s">
        <v>454</v>
      </c>
      <c r="D423" s="19">
        <v>223000</v>
      </c>
      <c r="E423" s="19">
        <v>0</v>
      </c>
      <c r="F423" s="19"/>
      <c r="G423" s="19">
        <v>880</v>
      </c>
      <c r="H423" s="19">
        <v>14.1</v>
      </c>
      <c r="I423" s="19"/>
      <c r="J423" s="19" t="s">
        <v>151</v>
      </c>
      <c r="K423" s="19" t="b">
        <v>1</v>
      </c>
      <c r="L423" s="15">
        <v>2015</v>
      </c>
      <c r="M423" s="16">
        <v>2501733</v>
      </c>
      <c r="N423" s="20">
        <v>41451</v>
      </c>
      <c r="O423" s="20">
        <v>41451</v>
      </c>
    </row>
    <row r="424" spans="1:15" ht="14.25">
      <c r="A424" s="17">
        <v>2013</v>
      </c>
      <c r="B424" s="18" t="s">
        <v>453</v>
      </c>
      <c r="C424" s="18" t="s">
        <v>454</v>
      </c>
      <c r="D424" s="19">
        <v>223000</v>
      </c>
      <c r="E424" s="19">
        <v>0</v>
      </c>
      <c r="F424" s="19"/>
      <c r="G424" s="19">
        <v>200</v>
      </c>
      <c r="H424" s="19">
        <v>3</v>
      </c>
      <c r="I424" s="19" t="s">
        <v>455</v>
      </c>
      <c r="J424" s="19" t="s">
        <v>23</v>
      </c>
      <c r="K424" s="19" t="b">
        <v>0</v>
      </c>
      <c r="L424" s="15">
        <v>2022</v>
      </c>
      <c r="M424" s="16">
        <v>2154468</v>
      </c>
      <c r="N424" s="20">
        <v>41451</v>
      </c>
      <c r="O424" s="20">
        <v>41451</v>
      </c>
    </row>
    <row r="425" spans="1:15" ht="14.25">
      <c r="A425" s="17">
        <v>2013</v>
      </c>
      <c r="B425" s="18" t="s">
        <v>453</v>
      </c>
      <c r="C425" s="18" t="s">
        <v>454</v>
      </c>
      <c r="D425" s="19">
        <v>223000</v>
      </c>
      <c r="E425" s="19">
        <v>0</v>
      </c>
      <c r="F425" s="19"/>
      <c r="G425" s="19">
        <v>300</v>
      </c>
      <c r="H425" s="19">
        <v>5</v>
      </c>
      <c r="I425" s="19" t="s">
        <v>458</v>
      </c>
      <c r="J425" s="19" t="s">
        <v>80</v>
      </c>
      <c r="K425" s="19" t="b">
        <v>0</v>
      </c>
      <c r="L425" s="15">
        <v>2024</v>
      </c>
      <c r="M425" s="16">
        <v>2154460</v>
      </c>
      <c r="N425" s="20">
        <v>41451</v>
      </c>
      <c r="O425" s="20">
        <v>41451</v>
      </c>
    </row>
    <row r="426" spans="1:15" ht="14.25">
      <c r="A426" s="17">
        <v>2013</v>
      </c>
      <c r="B426" s="18" t="s">
        <v>453</v>
      </c>
      <c r="C426" s="18" t="s">
        <v>454</v>
      </c>
      <c r="D426" s="19">
        <v>223000</v>
      </c>
      <c r="E426" s="19">
        <v>0</v>
      </c>
      <c r="F426" s="19"/>
      <c r="G426" s="19">
        <v>350</v>
      </c>
      <c r="H426" s="19">
        <v>6</v>
      </c>
      <c r="I426" s="19"/>
      <c r="J426" s="19" t="s">
        <v>27</v>
      </c>
      <c r="K426" s="19" t="b">
        <v>1</v>
      </c>
      <c r="L426" s="15">
        <v>2014</v>
      </c>
      <c r="M426" s="16">
        <v>37575525</v>
      </c>
      <c r="N426" s="20">
        <v>41451</v>
      </c>
      <c r="O426" s="20">
        <v>41451</v>
      </c>
    </row>
    <row r="427" spans="1:15" ht="14.25">
      <c r="A427" s="17">
        <v>2013</v>
      </c>
      <c r="B427" s="18" t="s">
        <v>453</v>
      </c>
      <c r="C427" s="18" t="s">
        <v>454</v>
      </c>
      <c r="D427" s="19">
        <v>223000</v>
      </c>
      <c r="E427" s="19">
        <v>0</v>
      </c>
      <c r="F427" s="19"/>
      <c r="G427" s="19">
        <v>510</v>
      </c>
      <c r="H427" s="19">
        <v>9.7</v>
      </c>
      <c r="I427" s="19"/>
      <c r="J427" s="19" t="s">
        <v>473</v>
      </c>
      <c r="K427" s="19" t="b">
        <v>1</v>
      </c>
      <c r="L427" s="15">
        <v>2016</v>
      </c>
      <c r="M427" s="16">
        <v>0.1758</v>
      </c>
      <c r="N427" s="20">
        <v>41451</v>
      </c>
      <c r="O427" s="20">
        <v>41451</v>
      </c>
    </row>
    <row r="428" spans="1:15" ht="14.25">
      <c r="A428" s="17">
        <v>2013</v>
      </c>
      <c r="B428" s="18" t="s">
        <v>453</v>
      </c>
      <c r="C428" s="18" t="s">
        <v>454</v>
      </c>
      <c r="D428" s="19">
        <v>223000</v>
      </c>
      <c r="E428" s="19">
        <v>0</v>
      </c>
      <c r="F428" s="19"/>
      <c r="G428" s="19">
        <v>420</v>
      </c>
      <c r="H428" s="19">
        <v>8.1</v>
      </c>
      <c r="I428" s="19" t="s">
        <v>456</v>
      </c>
      <c r="J428" s="19" t="s">
        <v>93</v>
      </c>
      <c r="K428" s="19" t="b">
        <v>0</v>
      </c>
      <c r="L428" s="15">
        <v>2014</v>
      </c>
      <c r="M428" s="16">
        <v>102403</v>
      </c>
      <c r="N428" s="20">
        <v>41451</v>
      </c>
      <c r="O428" s="20">
        <v>41451</v>
      </c>
    </row>
    <row r="429" spans="1:15" ht="14.25">
      <c r="A429" s="17">
        <v>2013</v>
      </c>
      <c r="B429" s="18" t="s">
        <v>453</v>
      </c>
      <c r="C429" s="18" t="s">
        <v>454</v>
      </c>
      <c r="D429" s="19">
        <v>223000</v>
      </c>
      <c r="E429" s="19">
        <v>0</v>
      </c>
      <c r="F429" s="19"/>
      <c r="G429" s="19">
        <v>505</v>
      </c>
      <c r="H429" s="19" t="s">
        <v>100</v>
      </c>
      <c r="I429" s="19" t="s">
        <v>464</v>
      </c>
      <c r="J429" s="19" t="s">
        <v>101</v>
      </c>
      <c r="K429" s="19" t="b">
        <v>0</v>
      </c>
      <c r="L429" s="15">
        <v>2024</v>
      </c>
      <c r="M429" s="16">
        <v>0.0321</v>
      </c>
      <c r="N429" s="20">
        <v>41451</v>
      </c>
      <c r="O429" s="20">
        <v>41451</v>
      </c>
    </row>
    <row r="430" spans="1:15" ht="14.25">
      <c r="A430" s="17">
        <v>2013</v>
      </c>
      <c r="B430" s="18" t="s">
        <v>453</v>
      </c>
      <c r="C430" s="18" t="s">
        <v>454</v>
      </c>
      <c r="D430" s="19">
        <v>223000</v>
      </c>
      <c r="E430" s="19">
        <v>0</v>
      </c>
      <c r="F430" s="19"/>
      <c r="G430" s="19">
        <v>90</v>
      </c>
      <c r="H430" s="19">
        <v>1.2</v>
      </c>
      <c r="I430" s="19"/>
      <c r="J430" s="19" t="s">
        <v>53</v>
      </c>
      <c r="K430" s="19" t="b">
        <v>1</v>
      </c>
      <c r="L430" s="15">
        <v>2016</v>
      </c>
      <c r="M430" s="16">
        <v>7500000</v>
      </c>
      <c r="N430" s="20">
        <v>41451</v>
      </c>
      <c r="O430" s="20">
        <v>41451</v>
      </c>
    </row>
    <row r="431" spans="1:15" ht="14.25">
      <c r="A431" s="17">
        <v>2013</v>
      </c>
      <c r="B431" s="18" t="s">
        <v>453</v>
      </c>
      <c r="C431" s="18" t="s">
        <v>454</v>
      </c>
      <c r="D431" s="19">
        <v>223000</v>
      </c>
      <c r="E431" s="19">
        <v>0</v>
      </c>
      <c r="F431" s="19"/>
      <c r="G431" s="19">
        <v>40</v>
      </c>
      <c r="H431" s="19" t="s">
        <v>43</v>
      </c>
      <c r="I431" s="19"/>
      <c r="J431" s="19" t="s">
        <v>44</v>
      </c>
      <c r="K431" s="19" t="b">
        <v>1</v>
      </c>
      <c r="L431" s="15">
        <v>2023</v>
      </c>
      <c r="M431" s="16">
        <v>2900000</v>
      </c>
      <c r="N431" s="20">
        <v>41451</v>
      </c>
      <c r="O431" s="20">
        <v>41451</v>
      </c>
    </row>
    <row r="432" spans="1:15" ht="14.25">
      <c r="A432" s="17">
        <v>2013</v>
      </c>
      <c r="B432" s="18" t="s">
        <v>453</v>
      </c>
      <c r="C432" s="18" t="s">
        <v>454</v>
      </c>
      <c r="D432" s="19">
        <v>223000</v>
      </c>
      <c r="E432" s="19">
        <v>0</v>
      </c>
      <c r="F432" s="19"/>
      <c r="G432" s="19">
        <v>520</v>
      </c>
      <c r="H432" s="19" t="s">
        <v>103</v>
      </c>
      <c r="I432" s="19"/>
      <c r="J432" s="19" t="s">
        <v>470</v>
      </c>
      <c r="K432" s="19" t="b">
        <v>1</v>
      </c>
      <c r="L432" s="15">
        <v>2022</v>
      </c>
      <c r="M432" s="16">
        <v>0.0375</v>
      </c>
      <c r="N432" s="20">
        <v>41451</v>
      </c>
      <c r="O432" s="20">
        <v>41451</v>
      </c>
    </row>
    <row r="433" spans="1:15" ht="14.25">
      <c r="A433" s="17">
        <v>2013</v>
      </c>
      <c r="B433" s="18" t="s">
        <v>453</v>
      </c>
      <c r="C433" s="18" t="s">
        <v>454</v>
      </c>
      <c r="D433" s="19">
        <v>223000</v>
      </c>
      <c r="E433" s="19">
        <v>0</v>
      </c>
      <c r="F433" s="19"/>
      <c r="G433" s="19">
        <v>70</v>
      </c>
      <c r="H433" s="19" t="s">
        <v>49</v>
      </c>
      <c r="I433" s="19"/>
      <c r="J433" s="19" t="s">
        <v>50</v>
      </c>
      <c r="K433" s="19" t="b">
        <v>1</v>
      </c>
      <c r="L433" s="15">
        <v>2016</v>
      </c>
      <c r="M433" s="16">
        <v>25300000</v>
      </c>
      <c r="N433" s="20">
        <v>41451</v>
      </c>
      <c r="O433" s="20">
        <v>41451</v>
      </c>
    </row>
    <row r="434" spans="1:15" ht="14.25">
      <c r="A434" s="17">
        <v>2013</v>
      </c>
      <c r="B434" s="18" t="s">
        <v>453</v>
      </c>
      <c r="C434" s="18" t="s">
        <v>454</v>
      </c>
      <c r="D434" s="19">
        <v>223000</v>
      </c>
      <c r="E434" s="19">
        <v>0</v>
      </c>
      <c r="F434" s="19"/>
      <c r="G434" s="19">
        <v>350</v>
      </c>
      <c r="H434" s="19">
        <v>6</v>
      </c>
      <c r="I434" s="19"/>
      <c r="J434" s="19" t="s">
        <v>27</v>
      </c>
      <c r="K434" s="19" t="b">
        <v>1</v>
      </c>
      <c r="L434" s="15">
        <v>2023</v>
      </c>
      <c r="M434" s="16">
        <v>3154460</v>
      </c>
      <c r="N434" s="20">
        <v>41451</v>
      </c>
      <c r="O434" s="20">
        <v>41451</v>
      </c>
    </row>
    <row r="435" spans="1:15" ht="14.25">
      <c r="A435" s="17">
        <v>2013</v>
      </c>
      <c r="B435" s="18" t="s">
        <v>453</v>
      </c>
      <c r="C435" s="18" t="s">
        <v>454</v>
      </c>
      <c r="D435" s="19">
        <v>223000</v>
      </c>
      <c r="E435" s="19">
        <v>0</v>
      </c>
      <c r="F435" s="19"/>
      <c r="G435" s="19">
        <v>390</v>
      </c>
      <c r="H435" s="19">
        <v>6.3</v>
      </c>
      <c r="I435" s="19" t="s">
        <v>472</v>
      </c>
      <c r="J435" s="19" t="s">
        <v>91</v>
      </c>
      <c r="K435" s="19" t="b">
        <v>0</v>
      </c>
      <c r="L435" s="15">
        <v>2024</v>
      </c>
      <c r="M435" s="16">
        <v>0.0114</v>
      </c>
      <c r="N435" s="20">
        <v>41451</v>
      </c>
      <c r="O435" s="20">
        <v>41451</v>
      </c>
    </row>
    <row r="436" spans="1:15" ht="14.25">
      <c r="A436" s="17">
        <v>2013</v>
      </c>
      <c r="B436" s="18" t="s">
        <v>453</v>
      </c>
      <c r="C436" s="18" t="s">
        <v>454</v>
      </c>
      <c r="D436" s="19">
        <v>223000</v>
      </c>
      <c r="E436" s="19">
        <v>0</v>
      </c>
      <c r="F436" s="19"/>
      <c r="G436" s="19">
        <v>500</v>
      </c>
      <c r="H436" s="19">
        <v>9.6</v>
      </c>
      <c r="I436" s="19" t="s">
        <v>463</v>
      </c>
      <c r="J436" s="19" t="s">
        <v>99</v>
      </c>
      <c r="K436" s="19" t="b">
        <v>0</v>
      </c>
      <c r="L436" s="15">
        <v>2019</v>
      </c>
      <c r="M436" s="16">
        <v>0.0395</v>
      </c>
      <c r="N436" s="20">
        <v>41451</v>
      </c>
      <c r="O436" s="20">
        <v>41451</v>
      </c>
    </row>
    <row r="437" spans="1:15" ht="14.25">
      <c r="A437" s="17">
        <v>2013</v>
      </c>
      <c r="B437" s="18" t="s">
        <v>453</v>
      </c>
      <c r="C437" s="18" t="s">
        <v>454</v>
      </c>
      <c r="D437" s="19">
        <v>223000</v>
      </c>
      <c r="E437" s="19">
        <v>0</v>
      </c>
      <c r="F437" s="19"/>
      <c r="G437" s="19">
        <v>190</v>
      </c>
      <c r="H437" s="19">
        <v>2.2</v>
      </c>
      <c r="I437" s="19"/>
      <c r="J437" s="19" t="s">
        <v>69</v>
      </c>
      <c r="K437" s="19" t="b">
        <v>0</v>
      </c>
      <c r="L437" s="15">
        <v>2023</v>
      </c>
      <c r="M437" s="16">
        <v>660000</v>
      </c>
      <c r="N437" s="20">
        <v>41451</v>
      </c>
      <c r="O437" s="20">
        <v>41451</v>
      </c>
    </row>
    <row r="438" spans="1:15" ht="14.25">
      <c r="A438" s="17">
        <v>2013</v>
      </c>
      <c r="B438" s="18" t="s">
        <v>453</v>
      </c>
      <c r="C438" s="18" t="s">
        <v>454</v>
      </c>
      <c r="D438" s="19">
        <v>223000</v>
      </c>
      <c r="E438" s="19">
        <v>0</v>
      </c>
      <c r="F438" s="19"/>
      <c r="G438" s="19">
        <v>30</v>
      </c>
      <c r="H438" s="19" t="s">
        <v>41</v>
      </c>
      <c r="I438" s="19"/>
      <c r="J438" s="19" t="s">
        <v>42</v>
      </c>
      <c r="K438" s="19" t="b">
        <v>1</v>
      </c>
      <c r="L438" s="15">
        <v>2021</v>
      </c>
      <c r="M438" s="16">
        <v>32000000</v>
      </c>
      <c r="N438" s="20">
        <v>41451</v>
      </c>
      <c r="O438" s="20">
        <v>41451</v>
      </c>
    </row>
    <row r="439" spans="1:15" ht="14.25">
      <c r="A439" s="17">
        <v>2013</v>
      </c>
      <c r="B439" s="18" t="s">
        <v>453</v>
      </c>
      <c r="C439" s="18" t="s">
        <v>454</v>
      </c>
      <c r="D439" s="19">
        <v>223000</v>
      </c>
      <c r="E439" s="19">
        <v>0</v>
      </c>
      <c r="F439" s="19"/>
      <c r="G439" s="19">
        <v>580</v>
      </c>
      <c r="H439" s="19">
        <v>11.1</v>
      </c>
      <c r="I439" s="19"/>
      <c r="J439" s="19" t="s">
        <v>111</v>
      </c>
      <c r="K439" s="19" t="b">
        <v>0</v>
      </c>
      <c r="L439" s="15">
        <v>2013</v>
      </c>
      <c r="M439" s="16">
        <v>30747661</v>
      </c>
      <c r="N439" s="20">
        <v>41451</v>
      </c>
      <c r="O439" s="20">
        <v>41451</v>
      </c>
    </row>
    <row r="440" spans="1:15" ht="14.25">
      <c r="A440" s="17">
        <v>2013</v>
      </c>
      <c r="B440" s="18" t="s">
        <v>453</v>
      </c>
      <c r="C440" s="18" t="s">
        <v>454</v>
      </c>
      <c r="D440" s="19">
        <v>223000</v>
      </c>
      <c r="E440" s="19">
        <v>0</v>
      </c>
      <c r="F440" s="19"/>
      <c r="G440" s="19">
        <v>505</v>
      </c>
      <c r="H440" s="19" t="s">
        <v>100</v>
      </c>
      <c r="I440" s="19" t="s">
        <v>464</v>
      </c>
      <c r="J440" s="19" t="s">
        <v>101</v>
      </c>
      <c r="K440" s="19" t="b">
        <v>0</v>
      </c>
      <c r="L440" s="15">
        <v>2018</v>
      </c>
      <c r="M440" s="16">
        <v>0.0442</v>
      </c>
      <c r="N440" s="20">
        <v>41451</v>
      </c>
      <c r="O440" s="20">
        <v>41451</v>
      </c>
    </row>
    <row r="441" spans="1:15" ht="14.25">
      <c r="A441" s="17">
        <v>2013</v>
      </c>
      <c r="B441" s="18" t="s">
        <v>453</v>
      </c>
      <c r="C441" s="18" t="s">
        <v>454</v>
      </c>
      <c r="D441" s="19">
        <v>223000</v>
      </c>
      <c r="E441" s="19">
        <v>0</v>
      </c>
      <c r="F441" s="19"/>
      <c r="G441" s="19">
        <v>620</v>
      </c>
      <c r="H441" s="19" t="s">
        <v>116</v>
      </c>
      <c r="I441" s="19"/>
      <c r="J441" s="19" t="s">
        <v>117</v>
      </c>
      <c r="K441" s="19" t="b">
        <v>1</v>
      </c>
      <c r="L441" s="15">
        <v>2015</v>
      </c>
      <c r="M441" s="16">
        <v>13202403</v>
      </c>
      <c r="N441" s="20">
        <v>41451</v>
      </c>
      <c r="O441" s="20">
        <v>41451</v>
      </c>
    </row>
    <row r="442" spans="1:15" ht="14.25">
      <c r="A442" s="17">
        <v>2013</v>
      </c>
      <c r="B442" s="18" t="s">
        <v>453</v>
      </c>
      <c r="C442" s="18" t="s">
        <v>454</v>
      </c>
      <c r="D442" s="19">
        <v>223000</v>
      </c>
      <c r="E442" s="19">
        <v>0</v>
      </c>
      <c r="F442" s="19"/>
      <c r="G442" s="19">
        <v>530</v>
      </c>
      <c r="H442" s="19">
        <v>9.8</v>
      </c>
      <c r="I442" s="19" t="s">
        <v>462</v>
      </c>
      <c r="J442" s="19" t="s">
        <v>105</v>
      </c>
      <c r="K442" s="19" t="b">
        <v>0</v>
      </c>
      <c r="L442" s="15">
        <v>2024</v>
      </c>
      <c r="M442" s="16">
        <v>80</v>
      </c>
      <c r="N442" s="20">
        <v>41451</v>
      </c>
      <c r="O442" s="20">
        <v>41451</v>
      </c>
    </row>
    <row r="443" spans="1:15" ht="14.25">
      <c r="A443" s="17">
        <v>2013</v>
      </c>
      <c r="B443" s="18" t="s">
        <v>453</v>
      </c>
      <c r="C443" s="18" t="s">
        <v>454</v>
      </c>
      <c r="D443" s="19">
        <v>223000</v>
      </c>
      <c r="E443" s="19">
        <v>0</v>
      </c>
      <c r="F443" s="19"/>
      <c r="G443" s="19">
        <v>70</v>
      </c>
      <c r="H443" s="19" t="s">
        <v>49</v>
      </c>
      <c r="I443" s="19"/>
      <c r="J443" s="19" t="s">
        <v>50</v>
      </c>
      <c r="K443" s="19" t="b">
        <v>1</v>
      </c>
      <c r="L443" s="15">
        <v>2026</v>
      </c>
      <c r="M443" s="16">
        <v>26300000</v>
      </c>
      <c r="N443" s="20">
        <v>41451</v>
      </c>
      <c r="O443" s="20">
        <v>41451</v>
      </c>
    </row>
    <row r="444" spans="1:15" ht="14.25">
      <c r="A444" s="17">
        <v>2013</v>
      </c>
      <c r="B444" s="18" t="s">
        <v>453</v>
      </c>
      <c r="C444" s="18" t="s">
        <v>454</v>
      </c>
      <c r="D444" s="19">
        <v>223000</v>
      </c>
      <c r="E444" s="19">
        <v>0</v>
      </c>
      <c r="F444" s="19"/>
      <c r="G444" s="19">
        <v>470</v>
      </c>
      <c r="H444" s="19">
        <v>9.3</v>
      </c>
      <c r="I444" s="19" t="s">
        <v>459</v>
      </c>
      <c r="J444" s="19" t="s">
        <v>467</v>
      </c>
      <c r="K444" s="19" t="b">
        <v>1</v>
      </c>
      <c r="L444" s="15">
        <v>2025</v>
      </c>
      <c r="M444" s="16">
        <v>0.0062</v>
      </c>
      <c r="N444" s="20">
        <v>41451</v>
      </c>
      <c r="O444" s="20">
        <v>41451</v>
      </c>
    </row>
    <row r="445" spans="1:15" ht="14.25">
      <c r="A445" s="17">
        <v>2013</v>
      </c>
      <c r="B445" s="18" t="s">
        <v>453</v>
      </c>
      <c r="C445" s="18" t="s">
        <v>454</v>
      </c>
      <c r="D445" s="19">
        <v>223000</v>
      </c>
      <c r="E445" s="19">
        <v>0</v>
      </c>
      <c r="F445" s="19"/>
      <c r="G445" s="19">
        <v>10</v>
      </c>
      <c r="H445" s="19">
        <v>1</v>
      </c>
      <c r="I445" s="19" t="s">
        <v>457</v>
      </c>
      <c r="J445" s="19" t="s">
        <v>26</v>
      </c>
      <c r="K445" s="19" t="b">
        <v>1</v>
      </c>
      <c r="L445" s="15">
        <v>2019</v>
      </c>
      <c r="M445" s="16">
        <v>83340975</v>
      </c>
      <c r="N445" s="20">
        <v>41451</v>
      </c>
      <c r="O445" s="20">
        <v>41451</v>
      </c>
    </row>
    <row r="446" spans="1:15" ht="14.25">
      <c r="A446" s="17">
        <v>2013</v>
      </c>
      <c r="B446" s="18" t="s">
        <v>453</v>
      </c>
      <c r="C446" s="18" t="s">
        <v>454</v>
      </c>
      <c r="D446" s="19">
        <v>223000</v>
      </c>
      <c r="E446" s="19">
        <v>0</v>
      </c>
      <c r="F446" s="19"/>
      <c r="G446" s="19">
        <v>470</v>
      </c>
      <c r="H446" s="19">
        <v>9.3</v>
      </c>
      <c r="I446" s="19" t="s">
        <v>459</v>
      </c>
      <c r="J446" s="19" t="s">
        <v>467</v>
      </c>
      <c r="K446" s="19" t="b">
        <v>1</v>
      </c>
      <c r="L446" s="15">
        <v>2019</v>
      </c>
      <c r="M446" s="16">
        <v>0.0395</v>
      </c>
      <c r="N446" s="20">
        <v>41451</v>
      </c>
      <c r="O446" s="20">
        <v>41451</v>
      </c>
    </row>
    <row r="447" spans="1:15" ht="14.25">
      <c r="A447" s="17">
        <v>2013</v>
      </c>
      <c r="B447" s="18" t="s">
        <v>453</v>
      </c>
      <c r="C447" s="18" t="s">
        <v>454</v>
      </c>
      <c r="D447" s="19">
        <v>223000</v>
      </c>
      <c r="E447" s="19">
        <v>0</v>
      </c>
      <c r="F447" s="19"/>
      <c r="G447" s="19">
        <v>510</v>
      </c>
      <c r="H447" s="19">
        <v>9.7</v>
      </c>
      <c r="I447" s="19"/>
      <c r="J447" s="19" t="s">
        <v>473</v>
      </c>
      <c r="K447" s="19" t="b">
        <v>1</v>
      </c>
      <c r="L447" s="15">
        <v>2020</v>
      </c>
      <c r="M447" s="16">
        <v>0.0423</v>
      </c>
      <c r="N447" s="20">
        <v>41451</v>
      </c>
      <c r="O447" s="20">
        <v>41451</v>
      </c>
    </row>
    <row r="448" spans="1:15" ht="14.25">
      <c r="A448" s="17">
        <v>2013</v>
      </c>
      <c r="B448" s="18" t="s">
        <v>453</v>
      </c>
      <c r="C448" s="18" t="s">
        <v>454</v>
      </c>
      <c r="D448" s="19">
        <v>223000</v>
      </c>
      <c r="E448" s="19">
        <v>0</v>
      </c>
      <c r="F448" s="19"/>
      <c r="G448" s="19">
        <v>510</v>
      </c>
      <c r="H448" s="19">
        <v>9.7</v>
      </c>
      <c r="I448" s="19"/>
      <c r="J448" s="19" t="s">
        <v>473</v>
      </c>
      <c r="K448" s="19" t="b">
        <v>1</v>
      </c>
      <c r="L448" s="15">
        <v>2015</v>
      </c>
      <c r="M448" s="16">
        <v>0.1607</v>
      </c>
      <c r="N448" s="20">
        <v>41451</v>
      </c>
      <c r="O448" s="20">
        <v>41451</v>
      </c>
    </row>
    <row r="449" spans="1:15" ht="14.25">
      <c r="A449" s="17">
        <v>2013</v>
      </c>
      <c r="B449" s="18" t="s">
        <v>453</v>
      </c>
      <c r="C449" s="18" t="s">
        <v>454</v>
      </c>
      <c r="D449" s="19">
        <v>223000</v>
      </c>
      <c r="E449" s="19">
        <v>0</v>
      </c>
      <c r="F449" s="19"/>
      <c r="G449" s="19">
        <v>540</v>
      </c>
      <c r="H449" s="19" t="s">
        <v>106</v>
      </c>
      <c r="I449" s="19" t="s">
        <v>460</v>
      </c>
      <c r="J449" s="19" t="s">
        <v>107</v>
      </c>
      <c r="K449" s="19" t="b">
        <v>0</v>
      </c>
      <c r="L449" s="15">
        <v>2014</v>
      </c>
      <c r="M449" s="16">
        <v>603</v>
      </c>
      <c r="N449" s="20">
        <v>41451</v>
      </c>
      <c r="O449" s="20">
        <v>41451</v>
      </c>
    </row>
    <row r="450" spans="1:15" ht="14.25">
      <c r="A450" s="17">
        <v>2013</v>
      </c>
      <c r="B450" s="18" t="s">
        <v>453</v>
      </c>
      <c r="C450" s="18" t="s">
        <v>454</v>
      </c>
      <c r="D450" s="19">
        <v>223000</v>
      </c>
      <c r="E450" s="19">
        <v>0</v>
      </c>
      <c r="F450" s="19"/>
      <c r="G450" s="19">
        <v>480</v>
      </c>
      <c r="H450" s="19">
        <v>9.4</v>
      </c>
      <c r="I450" s="19" t="s">
        <v>461</v>
      </c>
      <c r="J450" s="19" t="s">
        <v>97</v>
      </c>
      <c r="K450" s="19" t="b">
        <v>0</v>
      </c>
      <c r="L450" s="15">
        <v>2021</v>
      </c>
      <c r="M450" s="16">
        <v>0.0353</v>
      </c>
      <c r="N450" s="20">
        <v>41451</v>
      </c>
      <c r="O450" s="20">
        <v>41451</v>
      </c>
    </row>
    <row r="451" spans="1:15" ht="14.25">
      <c r="A451" s="17">
        <v>2013</v>
      </c>
      <c r="B451" s="18" t="s">
        <v>453</v>
      </c>
      <c r="C451" s="18" t="s">
        <v>454</v>
      </c>
      <c r="D451" s="19">
        <v>223000</v>
      </c>
      <c r="E451" s="19">
        <v>0</v>
      </c>
      <c r="F451" s="19"/>
      <c r="G451" s="19">
        <v>460</v>
      </c>
      <c r="H451" s="19">
        <v>9.2</v>
      </c>
      <c r="I451" s="19" t="s">
        <v>461</v>
      </c>
      <c r="J451" s="19" t="s">
        <v>96</v>
      </c>
      <c r="K451" s="19" t="b">
        <v>0</v>
      </c>
      <c r="L451" s="15">
        <v>2026</v>
      </c>
      <c r="M451" s="16">
        <v>0.0058</v>
      </c>
      <c r="N451" s="20">
        <v>41451</v>
      </c>
      <c r="O451" s="20">
        <v>41451</v>
      </c>
    </row>
    <row r="452" spans="1:15" ht="14.25">
      <c r="A452" s="17">
        <v>2013</v>
      </c>
      <c r="B452" s="18" t="s">
        <v>453</v>
      </c>
      <c r="C452" s="18" t="s">
        <v>454</v>
      </c>
      <c r="D452" s="19">
        <v>223000</v>
      </c>
      <c r="E452" s="19">
        <v>0</v>
      </c>
      <c r="F452" s="19"/>
      <c r="G452" s="19">
        <v>530</v>
      </c>
      <c r="H452" s="19">
        <v>9.8</v>
      </c>
      <c r="I452" s="19" t="s">
        <v>462</v>
      </c>
      <c r="J452" s="19" t="s">
        <v>105</v>
      </c>
      <c r="K452" s="19" t="b">
        <v>0</v>
      </c>
      <c r="L452" s="15">
        <v>2022</v>
      </c>
      <c r="M452" s="16">
        <v>82</v>
      </c>
      <c r="N452" s="20">
        <v>41451</v>
      </c>
      <c r="O452" s="20">
        <v>41451</v>
      </c>
    </row>
    <row r="453" spans="1:15" ht="14.25">
      <c r="A453" s="17">
        <v>2013</v>
      </c>
      <c r="B453" s="18" t="s">
        <v>453</v>
      </c>
      <c r="C453" s="18" t="s">
        <v>454</v>
      </c>
      <c r="D453" s="19">
        <v>223000</v>
      </c>
      <c r="E453" s="19">
        <v>0</v>
      </c>
      <c r="F453" s="19"/>
      <c r="G453" s="19">
        <v>120</v>
      </c>
      <c r="H453" s="19">
        <v>2</v>
      </c>
      <c r="I453" s="19" t="s">
        <v>469</v>
      </c>
      <c r="J453" s="19" t="s">
        <v>21</v>
      </c>
      <c r="K453" s="19" t="b">
        <v>0</v>
      </c>
      <c r="L453" s="15">
        <v>2023</v>
      </c>
      <c r="M453" s="16">
        <v>84625063</v>
      </c>
      <c r="N453" s="20">
        <v>41451</v>
      </c>
      <c r="O453" s="20">
        <v>41451</v>
      </c>
    </row>
    <row r="454" spans="1:15" ht="14.25">
      <c r="A454" s="17">
        <v>2013</v>
      </c>
      <c r="B454" s="18" t="s">
        <v>453</v>
      </c>
      <c r="C454" s="18" t="s">
        <v>454</v>
      </c>
      <c r="D454" s="19">
        <v>223000</v>
      </c>
      <c r="E454" s="19">
        <v>0</v>
      </c>
      <c r="F454" s="19"/>
      <c r="G454" s="19">
        <v>500</v>
      </c>
      <c r="H454" s="19">
        <v>9.6</v>
      </c>
      <c r="I454" s="19" t="s">
        <v>463</v>
      </c>
      <c r="J454" s="19" t="s">
        <v>99</v>
      </c>
      <c r="K454" s="19" t="b">
        <v>0</v>
      </c>
      <c r="L454" s="15">
        <v>2023</v>
      </c>
      <c r="M454" s="16">
        <v>0.0276</v>
      </c>
      <c r="N454" s="20">
        <v>41451</v>
      </c>
      <c r="O454" s="20">
        <v>41451</v>
      </c>
    </row>
    <row r="455" spans="1:15" ht="14.25">
      <c r="A455" s="17">
        <v>2013</v>
      </c>
      <c r="B455" s="18" t="s">
        <v>453</v>
      </c>
      <c r="C455" s="18" t="s">
        <v>454</v>
      </c>
      <c r="D455" s="19">
        <v>223000</v>
      </c>
      <c r="E455" s="19">
        <v>0</v>
      </c>
      <c r="F455" s="19"/>
      <c r="G455" s="19">
        <v>420</v>
      </c>
      <c r="H455" s="19">
        <v>8.1</v>
      </c>
      <c r="I455" s="19" t="s">
        <v>456</v>
      </c>
      <c r="J455" s="19" t="s">
        <v>93</v>
      </c>
      <c r="K455" s="19" t="b">
        <v>0</v>
      </c>
      <c r="L455" s="15">
        <v>2020</v>
      </c>
      <c r="M455" s="16">
        <v>2001733</v>
      </c>
      <c r="N455" s="20">
        <v>41451</v>
      </c>
      <c r="O455" s="20">
        <v>41451</v>
      </c>
    </row>
    <row r="456" spans="1:15" ht="14.25">
      <c r="A456" s="17">
        <v>2013</v>
      </c>
      <c r="B456" s="18" t="s">
        <v>453</v>
      </c>
      <c r="C456" s="18" t="s">
        <v>454</v>
      </c>
      <c r="D456" s="19">
        <v>223000</v>
      </c>
      <c r="E456" s="19">
        <v>0</v>
      </c>
      <c r="F456" s="19"/>
      <c r="G456" s="19">
        <v>470</v>
      </c>
      <c r="H456" s="19">
        <v>9.3</v>
      </c>
      <c r="I456" s="19" t="s">
        <v>459</v>
      </c>
      <c r="J456" s="19" t="s">
        <v>467</v>
      </c>
      <c r="K456" s="19" t="b">
        <v>1</v>
      </c>
      <c r="L456" s="15">
        <v>2016</v>
      </c>
      <c r="M456" s="16">
        <v>0.0427</v>
      </c>
      <c r="N456" s="20">
        <v>41451</v>
      </c>
      <c r="O456" s="20">
        <v>41451</v>
      </c>
    </row>
    <row r="457" spans="1:15" ht="14.25">
      <c r="A457" s="17">
        <v>2013</v>
      </c>
      <c r="B457" s="18" t="s">
        <v>453</v>
      </c>
      <c r="C457" s="18" t="s">
        <v>454</v>
      </c>
      <c r="D457" s="19">
        <v>223000</v>
      </c>
      <c r="E457" s="19">
        <v>0</v>
      </c>
      <c r="F457" s="19"/>
      <c r="G457" s="19">
        <v>10</v>
      </c>
      <c r="H457" s="19">
        <v>1</v>
      </c>
      <c r="I457" s="19" t="s">
        <v>457</v>
      </c>
      <c r="J457" s="19" t="s">
        <v>26</v>
      </c>
      <c r="K457" s="19" t="b">
        <v>1</v>
      </c>
      <c r="L457" s="15">
        <v>2022</v>
      </c>
      <c r="M457" s="16">
        <v>85813281</v>
      </c>
      <c r="N457" s="20">
        <v>41451</v>
      </c>
      <c r="O457" s="20">
        <v>41451</v>
      </c>
    </row>
    <row r="458" spans="1:15" ht="14.25">
      <c r="A458" s="17">
        <v>2013</v>
      </c>
      <c r="B458" s="18" t="s">
        <v>453</v>
      </c>
      <c r="C458" s="18" t="s">
        <v>454</v>
      </c>
      <c r="D458" s="19">
        <v>223000</v>
      </c>
      <c r="E458" s="19">
        <v>0</v>
      </c>
      <c r="F458" s="19"/>
      <c r="G458" s="19">
        <v>170</v>
      </c>
      <c r="H458" s="19" t="s">
        <v>65</v>
      </c>
      <c r="I458" s="19"/>
      <c r="J458" s="19" t="s">
        <v>66</v>
      </c>
      <c r="K458" s="19" t="b">
        <v>1</v>
      </c>
      <c r="L458" s="15">
        <v>2018</v>
      </c>
      <c r="M458" s="16">
        <v>927661</v>
      </c>
      <c r="N458" s="20">
        <v>41451</v>
      </c>
      <c r="O458" s="20">
        <v>41451</v>
      </c>
    </row>
    <row r="459" spans="1:15" ht="14.25">
      <c r="A459" s="17">
        <v>2013</v>
      </c>
      <c r="B459" s="18" t="s">
        <v>453</v>
      </c>
      <c r="C459" s="18" t="s">
        <v>454</v>
      </c>
      <c r="D459" s="19">
        <v>223000</v>
      </c>
      <c r="E459" s="19">
        <v>0</v>
      </c>
      <c r="F459" s="19"/>
      <c r="G459" s="19">
        <v>50</v>
      </c>
      <c r="H459" s="19" t="s">
        <v>45</v>
      </c>
      <c r="I459" s="19"/>
      <c r="J459" s="19" t="s">
        <v>46</v>
      </c>
      <c r="K459" s="19" t="b">
        <v>1</v>
      </c>
      <c r="L459" s="15">
        <v>2022</v>
      </c>
      <c r="M459" s="16">
        <v>7500000</v>
      </c>
      <c r="N459" s="20">
        <v>41451</v>
      </c>
      <c r="O459" s="20">
        <v>41451</v>
      </c>
    </row>
    <row r="460" spans="1:15" ht="14.25">
      <c r="A460" s="17">
        <v>2013</v>
      </c>
      <c r="B460" s="18" t="s">
        <v>453</v>
      </c>
      <c r="C460" s="18" t="s">
        <v>454</v>
      </c>
      <c r="D460" s="19">
        <v>223000</v>
      </c>
      <c r="E460" s="19">
        <v>0</v>
      </c>
      <c r="F460" s="19"/>
      <c r="G460" s="19">
        <v>500</v>
      </c>
      <c r="H460" s="19">
        <v>9.6</v>
      </c>
      <c r="I460" s="19" t="s">
        <v>463</v>
      </c>
      <c r="J460" s="19" t="s">
        <v>99</v>
      </c>
      <c r="K460" s="19" t="b">
        <v>0</v>
      </c>
      <c r="L460" s="15">
        <v>2014</v>
      </c>
      <c r="M460" s="16">
        <v>0.0601</v>
      </c>
      <c r="N460" s="20">
        <v>41451</v>
      </c>
      <c r="O460" s="20">
        <v>41451</v>
      </c>
    </row>
    <row r="461" spans="1:15" ht="14.25">
      <c r="A461" s="17">
        <v>2013</v>
      </c>
      <c r="B461" s="18" t="s">
        <v>453</v>
      </c>
      <c r="C461" s="18" t="s">
        <v>454</v>
      </c>
      <c r="D461" s="19">
        <v>223000</v>
      </c>
      <c r="E461" s="19">
        <v>0</v>
      </c>
      <c r="F461" s="19"/>
      <c r="G461" s="19">
        <v>300</v>
      </c>
      <c r="H461" s="19">
        <v>5</v>
      </c>
      <c r="I461" s="19" t="s">
        <v>458</v>
      </c>
      <c r="J461" s="19" t="s">
        <v>80</v>
      </c>
      <c r="K461" s="19" t="b">
        <v>0</v>
      </c>
      <c r="L461" s="15">
        <v>2021</v>
      </c>
      <c r="M461" s="16">
        <v>2501731</v>
      </c>
      <c r="N461" s="20">
        <v>41451</v>
      </c>
      <c r="O461" s="20">
        <v>41451</v>
      </c>
    </row>
    <row r="462" spans="1:15" ht="14.25">
      <c r="A462" s="17">
        <v>2013</v>
      </c>
      <c r="B462" s="18" t="s">
        <v>453</v>
      </c>
      <c r="C462" s="18" t="s">
        <v>454</v>
      </c>
      <c r="D462" s="19">
        <v>223000</v>
      </c>
      <c r="E462" s="19">
        <v>0</v>
      </c>
      <c r="F462" s="19"/>
      <c r="G462" s="19">
        <v>880</v>
      </c>
      <c r="H462" s="19">
        <v>14.1</v>
      </c>
      <c r="I462" s="19"/>
      <c r="J462" s="19" t="s">
        <v>151</v>
      </c>
      <c r="K462" s="19" t="b">
        <v>1</v>
      </c>
      <c r="L462" s="15">
        <v>2020</v>
      </c>
      <c r="M462" s="16">
        <v>2501733</v>
      </c>
      <c r="N462" s="20">
        <v>41451</v>
      </c>
      <c r="O462" s="20">
        <v>41451</v>
      </c>
    </row>
    <row r="463" spans="1:15" ht="14.25">
      <c r="A463" s="17">
        <v>2013</v>
      </c>
      <c r="B463" s="18" t="s">
        <v>453</v>
      </c>
      <c r="C463" s="18" t="s">
        <v>454</v>
      </c>
      <c r="D463" s="19">
        <v>223000</v>
      </c>
      <c r="E463" s="19">
        <v>0</v>
      </c>
      <c r="F463" s="19"/>
      <c r="G463" s="19">
        <v>590</v>
      </c>
      <c r="H463" s="19">
        <v>11.2</v>
      </c>
      <c r="I463" s="19"/>
      <c r="J463" s="19" t="s">
        <v>112</v>
      </c>
      <c r="K463" s="19" t="b">
        <v>1</v>
      </c>
      <c r="L463" s="15">
        <v>2014</v>
      </c>
      <c r="M463" s="16">
        <v>11902403</v>
      </c>
      <c r="N463" s="20">
        <v>41451</v>
      </c>
      <c r="O463" s="20">
        <v>41451</v>
      </c>
    </row>
    <row r="464" spans="1:15" ht="14.25">
      <c r="A464" s="17">
        <v>2013</v>
      </c>
      <c r="B464" s="18" t="s">
        <v>453</v>
      </c>
      <c r="C464" s="18" t="s">
        <v>454</v>
      </c>
      <c r="D464" s="19">
        <v>223000</v>
      </c>
      <c r="E464" s="19">
        <v>0</v>
      </c>
      <c r="F464" s="19"/>
      <c r="G464" s="19">
        <v>470</v>
      </c>
      <c r="H464" s="19">
        <v>9.3</v>
      </c>
      <c r="I464" s="19" t="s">
        <v>459</v>
      </c>
      <c r="J464" s="19" t="s">
        <v>467</v>
      </c>
      <c r="K464" s="19" t="b">
        <v>1</v>
      </c>
      <c r="L464" s="15">
        <v>2026</v>
      </c>
      <c r="M464" s="16">
        <v>0.0058</v>
      </c>
      <c r="N464" s="20">
        <v>41451</v>
      </c>
      <c r="O464" s="20">
        <v>41451</v>
      </c>
    </row>
    <row r="465" spans="1:15" ht="14.25">
      <c r="A465" s="17">
        <v>2013</v>
      </c>
      <c r="B465" s="18" t="s">
        <v>453</v>
      </c>
      <c r="C465" s="18" t="s">
        <v>454</v>
      </c>
      <c r="D465" s="19">
        <v>223000</v>
      </c>
      <c r="E465" s="19">
        <v>0</v>
      </c>
      <c r="F465" s="19"/>
      <c r="G465" s="19">
        <v>590</v>
      </c>
      <c r="H465" s="19">
        <v>11.2</v>
      </c>
      <c r="I465" s="19"/>
      <c r="J465" s="19" t="s">
        <v>112</v>
      </c>
      <c r="K465" s="19" t="b">
        <v>1</v>
      </c>
      <c r="L465" s="15">
        <v>2021</v>
      </c>
      <c r="M465" s="16">
        <v>12500000</v>
      </c>
      <c r="N465" s="20">
        <v>41451</v>
      </c>
      <c r="O465" s="20">
        <v>41451</v>
      </c>
    </row>
    <row r="466" spans="1:15" ht="14.25">
      <c r="A466" s="17">
        <v>2013</v>
      </c>
      <c r="B466" s="18" t="s">
        <v>453</v>
      </c>
      <c r="C466" s="18" t="s">
        <v>454</v>
      </c>
      <c r="D466" s="19">
        <v>223000</v>
      </c>
      <c r="E466" s="19">
        <v>0</v>
      </c>
      <c r="F466" s="19"/>
      <c r="G466" s="19">
        <v>590</v>
      </c>
      <c r="H466" s="19">
        <v>11.2</v>
      </c>
      <c r="I466" s="19"/>
      <c r="J466" s="19" t="s">
        <v>112</v>
      </c>
      <c r="K466" s="19" t="b">
        <v>1</v>
      </c>
      <c r="L466" s="15">
        <v>2015</v>
      </c>
      <c r="M466" s="16">
        <v>12002403</v>
      </c>
      <c r="N466" s="20">
        <v>41451</v>
      </c>
      <c r="O466" s="20">
        <v>41451</v>
      </c>
    </row>
    <row r="467" spans="1:15" ht="14.25">
      <c r="A467" s="17">
        <v>2013</v>
      </c>
      <c r="B467" s="18" t="s">
        <v>453</v>
      </c>
      <c r="C467" s="18" t="s">
        <v>454</v>
      </c>
      <c r="D467" s="19">
        <v>223000</v>
      </c>
      <c r="E467" s="19">
        <v>0</v>
      </c>
      <c r="F467" s="19"/>
      <c r="G467" s="19">
        <v>30</v>
      </c>
      <c r="H467" s="19" t="s">
        <v>41</v>
      </c>
      <c r="I467" s="19"/>
      <c r="J467" s="19" t="s">
        <v>42</v>
      </c>
      <c r="K467" s="19" t="b">
        <v>1</v>
      </c>
      <c r="L467" s="15">
        <v>2015</v>
      </c>
      <c r="M467" s="16">
        <v>28000000</v>
      </c>
      <c r="N467" s="20">
        <v>41451</v>
      </c>
      <c r="O467" s="20">
        <v>41451</v>
      </c>
    </row>
    <row r="468" spans="1:15" ht="14.25">
      <c r="A468" s="17">
        <v>2013</v>
      </c>
      <c r="B468" s="18" t="s">
        <v>453</v>
      </c>
      <c r="C468" s="18" t="s">
        <v>454</v>
      </c>
      <c r="D468" s="19">
        <v>223000</v>
      </c>
      <c r="E468" s="19">
        <v>0</v>
      </c>
      <c r="F468" s="19"/>
      <c r="G468" s="19">
        <v>10</v>
      </c>
      <c r="H468" s="19">
        <v>1</v>
      </c>
      <c r="I468" s="19" t="s">
        <v>457</v>
      </c>
      <c r="J468" s="19" t="s">
        <v>26</v>
      </c>
      <c r="K468" s="19" t="b">
        <v>1</v>
      </c>
      <c r="L468" s="15">
        <v>2023</v>
      </c>
      <c r="M468" s="16">
        <v>86779531</v>
      </c>
      <c r="N468" s="20">
        <v>41451</v>
      </c>
      <c r="O468" s="20">
        <v>41451</v>
      </c>
    </row>
    <row r="469" spans="1:15" ht="14.25">
      <c r="A469" s="17">
        <v>2013</v>
      </c>
      <c r="B469" s="18" t="s">
        <v>453</v>
      </c>
      <c r="C469" s="18" t="s">
        <v>454</v>
      </c>
      <c r="D469" s="19">
        <v>223000</v>
      </c>
      <c r="E469" s="19">
        <v>0</v>
      </c>
      <c r="F469" s="19"/>
      <c r="G469" s="19">
        <v>510</v>
      </c>
      <c r="H469" s="19">
        <v>9.7</v>
      </c>
      <c r="I469" s="19"/>
      <c r="J469" s="19" t="s">
        <v>473</v>
      </c>
      <c r="K469" s="19" t="b">
        <v>1</v>
      </c>
      <c r="L469" s="15">
        <v>2017</v>
      </c>
      <c r="M469" s="16">
        <v>0.1625</v>
      </c>
      <c r="N469" s="20">
        <v>41451</v>
      </c>
      <c r="O469" s="20">
        <v>41451</v>
      </c>
    </row>
    <row r="470" spans="1:15" ht="14.25">
      <c r="A470" s="17">
        <v>2013</v>
      </c>
      <c r="B470" s="18" t="s">
        <v>453</v>
      </c>
      <c r="C470" s="18" t="s">
        <v>454</v>
      </c>
      <c r="D470" s="19">
        <v>223000</v>
      </c>
      <c r="E470" s="19">
        <v>0</v>
      </c>
      <c r="F470" s="19"/>
      <c r="G470" s="19">
        <v>40</v>
      </c>
      <c r="H470" s="19" t="s">
        <v>43</v>
      </c>
      <c r="I470" s="19"/>
      <c r="J470" s="19" t="s">
        <v>44</v>
      </c>
      <c r="K470" s="19" t="b">
        <v>1</v>
      </c>
      <c r="L470" s="15">
        <v>2022</v>
      </c>
      <c r="M470" s="16">
        <v>2850000</v>
      </c>
      <c r="N470" s="20">
        <v>41451</v>
      </c>
      <c r="O470" s="20">
        <v>41451</v>
      </c>
    </row>
    <row r="471" spans="1:15" ht="14.25">
      <c r="A471" s="17">
        <v>2013</v>
      </c>
      <c r="B471" s="18" t="s">
        <v>453</v>
      </c>
      <c r="C471" s="18" t="s">
        <v>454</v>
      </c>
      <c r="D471" s="19">
        <v>223000</v>
      </c>
      <c r="E471" s="19">
        <v>0</v>
      </c>
      <c r="F471" s="19"/>
      <c r="G471" s="19">
        <v>580</v>
      </c>
      <c r="H471" s="19">
        <v>11.1</v>
      </c>
      <c r="I471" s="19"/>
      <c r="J471" s="19" t="s">
        <v>111</v>
      </c>
      <c r="K471" s="19" t="b">
        <v>0</v>
      </c>
      <c r="L471" s="15">
        <v>2020</v>
      </c>
      <c r="M471" s="16">
        <v>33000000</v>
      </c>
      <c r="N471" s="20">
        <v>41451</v>
      </c>
      <c r="O471" s="20">
        <v>41451</v>
      </c>
    </row>
    <row r="472" spans="1:15" ht="14.25">
      <c r="A472" s="17">
        <v>2013</v>
      </c>
      <c r="B472" s="18" t="s">
        <v>453</v>
      </c>
      <c r="C472" s="18" t="s">
        <v>454</v>
      </c>
      <c r="D472" s="19">
        <v>223000</v>
      </c>
      <c r="E472" s="19">
        <v>0</v>
      </c>
      <c r="F472" s="19"/>
      <c r="G472" s="19">
        <v>420</v>
      </c>
      <c r="H472" s="19">
        <v>8.1</v>
      </c>
      <c r="I472" s="19" t="s">
        <v>456</v>
      </c>
      <c r="J472" s="19" t="s">
        <v>93</v>
      </c>
      <c r="K472" s="19" t="b">
        <v>0</v>
      </c>
      <c r="L472" s="15">
        <v>2018</v>
      </c>
      <c r="M472" s="16">
        <v>2001733</v>
      </c>
      <c r="N472" s="20">
        <v>41451</v>
      </c>
      <c r="O472" s="20">
        <v>41451</v>
      </c>
    </row>
    <row r="473" spans="1:15" ht="14.25">
      <c r="A473" s="17">
        <v>2013</v>
      </c>
      <c r="B473" s="18" t="s">
        <v>453</v>
      </c>
      <c r="C473" s="18" t="s">
        <v>454</v>
      </c>
      <c r="D473" s="19">
        <v>223000</v>
      </c>
      <c r="E473" s="19">
        <v>0</v>
      </c>
      <c r="F473" s="19"/>
      <c r="G473" s="19">
        <v>450</v>
      </c>
      <c r="H473" s="19">
        <v>9.1</v>
      </c>
      <c r="I473" s="19" t="s">
        <v>459</v>
      </c>
      <c r="J473" s="19" t="s">
        <v>95</v>
      </c>
      <c r="K473" s="19" t="b">
        <v>1</v>
      </c>
      <c r="L473" s="15">
        <v>2024</v>
      </c>
      <c r="M473" s="16">
        <v>0.0261</v>
      </c>
      <c r="N473" s="20">
        <v>41451</v>
      </c>
      <c r="O473" s="20">
        <v>41451</v>
      </c>
    </row>
    <row r="474" spans="1:15" ht="14.25">
      <c r="A474" s="17">
        <v>2013</v>
      </c>
      <c r="B474" s="18" t="s">
        <v>453</v>
      </c>
      <c r="C474" s="18" t="s">
        <v>454</v>
      </c>
      <c r="D474" s="19">
        <v>223000</v>
      </c>
      <c r="E474" s="19">
        <v>0</v>
      </c>
      <c r="F474" s="19"/>
      <c r="G474" s="19">
        <v>390</v>
      </c>
      <c r="H474" s="19">
        <v>6.3</v>
      </c>
      <c r="I474" s="19" t="s">
        <v>472</v>
      </c>
      <c r="J474" s="19" t="s">
        <v>91</v>
      </c>
      <c r="K474" s="19" t="b">
        <v>0</v>
      </c>
      <c r="L474" s="15">
        <v>2014</v>
      </c>
      <c r="M474" s="16">
        <v>0.3859</v>
      </c>
      <c r="N474" s="20">
        <v>41451</v>
      </c>
      <c r="O474" s="20">
        <v>41451</v>
      </c>
    </row>
    <row r="475" spans="1:15" ht="14.25">
      <c r="A475" s="17">
        <v>2013</v>
      </c>
      <c r="B475" s="18" t="s">
        <v>453</v>
      </c>
      <c r="C475" s="18" t="s">
        <v>454</v>
      </c>
      <c r="D475" s="19">
        <v>223000</v>
      </c>
      <c r="E475" s="19">
        <v>0</v>
      </c>
      <c r="F475" s="19"/>
      <c r="G475" s="19">
        <v>880</v>
      </c>
      <c r="H475" s="19">
        <v>14.1</v>
      </c>
      <c r="I475" s="19"/>
      <c r="J475" s="19" t="s">
        <v>151</v>
      </c>
      <c r="K475" s="19" t="b">
        <v>1</v>
      </c>
      <c r="L475" s="15">
        <v>2026</v>
      </c>
      <c r="M475" s="16">
        <v>500000</v>
      </c>
      <c r="N475" s="20">
        <v>41451</v>
      </c>
      <c r="O475" s="20">
        <v>41451</v>
      </c>
    </row>
    <row r="476" spans="1:15" ht="14.25">
      <c r="A476" s="17">
        <v>2013</v>
      </c>
      <c r="B476" s="18" t="s">
        <v>453</v>
      </c>
      <c r="C476" s="18" t="s">
        <v>454</v>
      </c>
      <c r="D476" s="19">
        <v>223000</v>
      </c>
      <c r="E476" s="19">
        <v>0</v>
      </c>
      <c r="F476" s="19"/>
      <c r="G476" s="19">
        <v>100</v>
      </c>
      <c r="H476" s="19" t="s">
        <v>54</v>
      </c>
      <c r="I476" s="19"/>
      <c r="J476" s="19" t="s">
        <v>55</v>
      </c>
      <c r="K476" s="19" t="b">
        <v>1</v>
      </c>
      <c r="L476" s="15">
        <v>2025</v>
      </c>
      <c r="M476" s="16">
        <v>1160000</v>
      </c>
      <c r="N476" s="20">
        <v>41451</v>
      </c>
      <c r="O476" s="20">
        <v>41451</v>
      </c>
    </row>
    <row r="477" spans="1:15" ht="14.25">
      <c r="A477" s="17">
        <v>2013</v>
      </c>
      <c r="B477" s="18" t="s">
        <v>453</v>
      </c>
      <c r="C477" s="18" t="s">
        <v>454</v>
      </c>
      <c r="D477" s="19">
        <v>223000</v>
      </c>
      <c r="E477" s="19">
        <v>0</v>
      </c>
      <c r="F477" s="19"/>
      <c r="G477" s="19">
        <v>420</v>
      </c>
      <c r="H477" s="19">
        <v>8.1</v>
      </c>
      <c r="I477" s="19" t="s">
        <v>456</v>
      </c>
      <c r="J477" s="19" t="s">
        <v>93</v>
      </c>
      <c r="K477" s="19" t="b">
        <v>0</v>
      </c>
      <c r="L477" s="15">
        <v>2013</v>
      </c>
      <c r="M477" s="16">
        <v>-1740512</v>
      </c>
      <c r="N477" s="20">
        <v>41451</v>
      </c>
      <c r="O477" s="20">
        <v>41451</v>
      </c>
    </row>
    <row r="478" spans="1:15" ht="14.25">
      <c r="A478" s="17">
        <v>2013</v>
      </c>
      <c r="B478" s="18" t="s">
        <v>453</v>
      </c>
      <c r="C478" s="18" t="s">
        <v>454</v>
      </c>
      <c r="D478" s="19">
        <v>223000</v>
      </c>
      <c r="E478" s="19">
        <v>0</v>
      </c>
      <c r="F478" s="19"/>
      <c r="G478" s="19">
        <v>30</v>
      </c>
      <c r="H478" s="19" t="s">
        <v>41</v>
      </c>
      <c r="I478" s="19"/>
      <c r="J478" s="19" t="s">
        <v>42</v>
      </c>
      <c r="K478" s="19" t="b">
        <v>1</v>
      </c>
      <c r="L478" s="15">
        <v>2013</v>
      </c>
      <c r="M478" s="16">
        <v>30202284</v>
      </c>
      <c r="N478" s="20">
        <v>41451</v>
      </c>
      <c r="O478" s="20">
        <v>41451</v>
      </c>
    </row>
    <row r="479" spans="1:15" ht="14.25">
      <c r="A479" s="17">
        <v>2013</v>
      </c>
      <c r="B479" s="18" t="s">
        <v>453</v>
      </c>
      <c r="C479" s="18" t="s">
        <v>454</v>
      </c>
      <c r="D479" s="19">
        <v>223000</v>
      </c>
      <c r="E479" s="19">
        <v>0</v>
      </c>
      <c r="F479" s="19"/>
      <c r="G479" s="19">
        <v>560</v>
      </c>
      <c r="H479" s="19">
        <v>10.1</v>
      </c>
      <c r="I479" s="19"/>
      <c r="J479" s="19" t="s">
        <v>109</v>
      </c>
      <c r="K479" s="19" t="b">
        <v>0</v>
      </c>
      <c r="L479" s="15">
        <v>2024</v>
      </c>
      <c r="M479" s="16">
        <v>2154460</v>
      </c>
      <c r="N479" s="20">
        <v>41451</v>
      </c>
      <c r="O479" s="20">
        <v>41451</v>
      </c>
    </row>
    <row r="480" spans="1:15" ht="14.25">
      <c r="A480" s="17">
        <v>2013</v>
      </c>
      <c r="B480" s="18" t="s">
        <v>453</v>
      </c>
      <c r="C480" s="18" t="s">
        <v>454</v>
      </c>
      <c r="D480" s="19">
        <v>223000</v>
      </c>
      <c r="E480" s="19">
        <v>0</v>
      </c>
      <c r="F480" s="19"/>
      <c r="G480" s="19">
        <v>300</v>
      </c>
      <c r="H480" s="19">
        <v>5</v>
      </c>
      <c r="I480" s="19" t="s">
        <v>458</v>
      </c>
      <c r="J480" s="19" t="s">
        <v>80</v>
      </c>
      <c r="K480" s="19" t="b">
        <v>0</v>
      </c>
      <c r="L480" s="15">
        <v>2013</v>
      </c>
      <c r="M480" s="16">
        <v>4319913</v>
      </c>
      <c r="N480" s="20">
        <v>41451</v>
      </c>
      <c r="O480" s="20">
        <v>41451</v>
      </c>
    </row>
    <row r="481" spans="1:15" ht="14.25">
      <c r="A481" s="17">
        <v>2013</v>
      </c>
      <c r="B481" s="18" t="s">
        <v>453</v>
      </c>
      <c r="C481" s="18" t="s">
        <v>454</v>
      </c>
      <c r="D481" s="19">
        <v>223000</v>
      </c>
      <c r="E481" s="19">
        <v>0</v>
      </c>
      <c r="F481" s="19"/>
      <c r="G481" s="19">
        <v>20</v>
      </c>
      <c r="H481" s="19">
        <v>1.1</v>
      </c>
      <c r="I481" s="19"/>
      <c r="J481" s="19" t="s">
        <v>40</v>
      </c>
      <c r="K481" s="19" t="b">
        <v>1</v>
      </c>
      <c r="L481" s="15">
        <v>2022</v>
      </c>
      <c r="M481" s="16">
        <v>84653281</v>
      </c>
      <c r="N481" s="20">
        <v>41451</v>
      </c>
      <c r="O481" s="20">
        <v>41451</v>
      </c>
    </row>
    <row r="482" spans="1:15" ht="14.25">
      <c r="A482" s="17">
        <v>2013</v>
      </c>
      <c r="B482" s="18" t="s">
        <v>453</v>
      </c>
      <c r="C482" s="18" t="s">
        <v>454</v>
      </c>
      <c r="D482" s="19">
        <v>223000</v>
      </c>
      <c r="E482" s="19">
        <v>0</v>
      </c>
      <c r="F482" s="19"/>
      <c r="G482" s="19">
        <v>430</v>
      </c>
      <c r="H482" s="19">
        <v>8.2</v>
      </c>
      <c r="I482" s="19" t="s">
        <v>471</v>
      </c>
      <c r="J482" s="19" t="s">
        <v>94</v>
      </c>
      <c r="K482" s="19" t="b">
        <v>0</v>
      </c>
      <c r="L482" s="15">
        <v>2021</v>
      </c>
      <c r="M482" s="16">
        <v>2001731</v>
      </c>
      <c r="N482" s="20">
        <v>41451</v>
      </c>
      <c r="O482" s="20">
        <v>41451</v>
      </c>
    </row>
    <row r="483" spans="1:15" ht="14.25">
      <c r="A483" s="17">
        <v>2013</v>
      </c>
      <c r="B483" s="18" t="s">
        <v>453</v>
      </c>
      <c r="C483" s="18" t="s">
        <v>454</v>
      </c>
      <c r="D483" s="19">
        <v>223000</v>
      </c>
      <c r="E483" s="19">
        <v>0</v>
      </c>
      <c r="F483" s="19"/>
      <c r="G483" s="19">
        <v>200</v>
      </c>
      <c r="H483" s="19">
        <v>3</v>
      </c>
      <c r="I483" s="19" t="s">
        <v>455</v>
      </c>
      <c r="J483" s="19" t="s">
        <v>23</v>
      </c>
      <c r="K483" s="19" t="b">
        <v>0</v>
      </c>
      <c r="L483" s="15">
        <v>2023</v>
      </c>
      <c r="M483" s="16">
        <v>2154468</v>
      </c>
      <c r="N483" s="20">
        <v>41451</v>
      </c>
      <c r="O483" s="20">
        <v>41451</v>
      </c>
    </row>
    <row r="484" spans="1:15" ht="14.25">
      <c r="A484" s="17">
        <v>2013</v>
      </c>
      <c r="B484" s="18" t="s">
        <v>453</v>
      </c>
      <c r="C484" s="18" t="s">
        <v>454</v>
      </c>
      <c r="D484" s="19">
        <v>223000</v>
      </c>
      <c r="E484" s="19">
        <v>0</v>
      </c>
      <c r="F484" s="19"/>
      <c r="G484" s="19">
        <v>590</v>
      </c>
      <c r="H484" s="19">
        <v>11.2</v>
      </c>
      <c r="I484" s="19"/>
      <c r="J484" s="19" t="s">
        <v>112</v>
      </c>
      <c r="K484" s="19" t="b">
        <v>1</v>
      </c>
      <c r="L484" s="15">
        <v>2020</v>
      </c>
      <c r="M484" s="16">
        <v>12400000</v>
      </c>
      <c r="N484" s="20">
        <v>41451</v>
      </c>
      <c r="O484" s="20">
        <v>41451</v>
      </c>
    </row>
    <row r="485" spans="1:15" ht="14.25">
      <c r="A485" s="17">
        <v>2013</v>
      </c>
      <c r="B485" s="18" t="s">
        <v>453</v>
      </c>
      <c r="C485" s="18" t="s">
        <v>454</v>
      </c>
      <c r="D485" s="19">
        <v>223000</v>
      </c>
      <c r="E485" s="19">
        <v>0</v>
      </c>
      <c r="F485" s="19"/>
      <c r="G485" s="19">
        <v>500</v>
      </c>
      <c r="H485" s="19">
        <v>9.6</v>
      </c>
      <c r="I485" s="19" t="s">
        <v>463</v>
      </c>
      <c r="J485" s="19" t="s">
        <v>99</v>
      </c>
      <c r="K485" s="19" t="b">
        <v>0</v>
      </c>
      <c r="L485" s="15">
        <v>2024</v>
      </c>
      <c r="M485" s="16">
        <v>0.0261</v>
      </c>
      <c r="N485" s="20">
        <v>41451</v>
      </c>
      <c r="O485" s="20">
        <v>41451</v>
      </c>
    </row>
    <row r="486" spans="1:15" ht="14.25">
      <c r="A486" s="17">
        <v>2013</v>
      </c>
      <c r="B486" s="18" t="s">
        <v>453</v>
      </c>
      <c r="C486" s="18" t="s">
        <v>454</v>
      </c>
      <c r="D486" s="19">
        <v>223000</v>
      </c>
      <c r="E486" s="19">
        <v>0</v>
      </c>
      <c r="F486" s="19"/>
      <c r="G486" s="19">
        <v>510</v>
      </c>
      <c r="H486" s="19">
        <v>9.7</v>
      </c>
      <c r="I486" s="19"/>
      <c r="J486" s="19" t="s">
        <v>473</v>
      </c>
      <c r="K486" s="19" t="b">
        <v>1</v>
      </c>
      <c r="L486" s="15">
        <v>2013</v>
      </c>
      <c r="M486" s="16">
        <v>0.0667</v>
      </c>
      <c r="N486" s="20">
        <v>41451</v>
      </c>
      <c r="O486" s="20">
        <v>41451</v>
      </c>
    </row>
    <row r="487" spans="1:15" ht="14.25">
      <c r="A487" s="17">
        <v>2013</v>
      </c>
      <c r="B487" s="18" t="s">
        <v>453</v>
      </c>
      <c r="C487" s="18" t="s">
        <v>454</v>
      </c>
      <c r="D487" s="19">
        <v>223000</v>
      </c>
      <c r="E487" s="19">
        <v>0</v>
      </c>
      <c r="F487" s="19"/>
      <c r="G487" s="19">
        <v>460</v>
      </c>
      <c r="H487" s="19">
        <v>9.2</v>
      </c>
      <c r="I487" s="19" t="s">
        <v>461</v>
      </c>
      <c r="J487" s="19" t="s">
        <v>96</v>
      </c>
      <c r="K487" s="19" t="b">
        <v>0</v>
      </c>
      <c r="L487" s="15">
        <v>2013</v>
      </c>
      <c r="M487" s="16">
        <v>0.0579</v>
      </c>
      <c r="N487" s="20">
        <v>41451</v>
      </c>
      <c r="O487" s="20">
        <v>41451</v>
      </c>
    </row>
    <row r="488" spans="1:15" ht="14.25">
      <c r="A488" s="17">
        <v>2013</v>
      </c>
      <c r="B488" s="18" t="s">
        <v>453</v>
      </c>
      <c r="C488" s="18" t="s">
        <v>454</v>
      </c>
      <c r="D488" s="19">
        <v>223000</v>
      </c>
      <c r="E488" s="19">
        <v>0</v>
      </c>
      <c r="F488" s="19"/>
      <c r="G488" s="19">
        <v>200</v>
      </c>
      <c r="H488" s="19">
        <v>3</v>
      </c>
      <c r="I488" s="19" t="s">
        <v>455</v>
      </c>
      <c r="J488" s="19" t="s">
        <v>23</v>
      </c>
      <c r="K488" s="19" t="b">
        <v>0</v>
      </c>
      <c r="L488" s="15">
        <v>2013</v>
      </c>
      <c r="M488" s="16">
        <v>2374361</v>
      </c>
      <c r="N488" s="20">
        <v>41451</v>
      </c>
      <c r="O488" s="20">
        <v>41451</v>
      </c>
    </row>
    <row r="489" spans="1:15" ht="14.25">
      <c r="A489" s="17">
        <v>2013</v>
      </c>
      <c r="B489" s="18" t="s">
        <v>453</v>
      </c>
      <c r="C489" s="18" t="s">
        <v>454</v>
      </c>
      <c r="D489" s="19">
        <v>223000</v>
      </c>
      <c r="E489" s="19">
        <v>0</v>
      </c>
      <c r="F489" s="19"/>
      <c r="G489" s="19">
        <v>20</v>
      </c>
      <c r="H489" s="19">
        <v>1.1</v>
      </c>
      <c r="I489" s="19"/>
      <c r="J489" s="19" t="s">
        <v>40</v>
      </c>
      <c r="K489" s="19" t="b">
        <v>1</v>
      </c>
      <c r="L489" s="15">
        <v>2026</v>
      </c>
      <c r="M489" s="16">
        <v>88500000</v>
      </c>
      <c r="N489" s="20">
        <v>41451</v>
      </c>
      <c r="O489" s="20">
        <v>41451</v>
      </c>
    </row>
    <row r="490" spans="1:15" ht="14.25">
      <c r="A490" s="17">
        <v>2013</v>
      </c>
      <c r="B490" s="18" t="s">
        <v>453</v>
      </c>
      <c r="C490" s="18" t="s">
        <v>454</v>
      </c>
      <c r="D490" s="19">
        <v>223000</v>
      </c>
      <c r="E490" s="19">
        <v>0</v>
      </c>
      <c r="F490" s="19"/>
      <c r="G490" s="19">
        <v>90</v>
      </c>
      <c r="H490" s="19">
        <v>1.2</v>
      </c>
      <c r="I490" s="19"/>
      <c r="J490" s="19" t="s">
        <v>53</v>
      </c>
      <c r="K490" s="19" t="b">
        <v>1</v>
      </c>
      <c r="L490" s="15">
        <v>2020</v>
      </c>
      <c r="M490" s="16">
        <v>1160000</v>
      </c>
      <c r="N490" s="20">
        <v>41451</v>
      </c>
      <c r="O490" s="20">
        <v>41451</v>
      </c>
    </row>
    <row r="491" spans="1:15" ht="14.25">
      <c r="A491" s="17">
        <v>2013</v>
      </c>
      <c r="B491" s="18" t="s">
        <v>453</v>
      </c>
      <c r="C491" s="18" t="s">
        <v>454</v>
      </c>
      <c r="D491" s="19">
        <v>223000</v>
      </c>
      <c r="E491" s="19">
        <v>0</v>
      </c>
      <c r="F491" s="19"/>
      <c r="G491" s="19">
        <v>390</v>
      </c>
      <c r="H491" s="19">
        <v>6.3</v>
      </c>
      <c r="I491" s="19" t="s">
        <v>472</v>
      </c>
      <c r="J491" s="19" t="s">
        <v>91</v>
      </c>
      <c r="K491" s="19" t="b">
        <v>0</v>
      </c>
      <c r="L491" s="15">
        <v>2023</v>
      </c>
      <c r="M491" s="16">
        <v>0.0364</v>
      </c>
      <c r="N491" s="20">
        <v>41451</v>
      </c>
      <c r="O491" s="20">
        <v>41451</v>
      </c>
    </row>
    <row r="492" spans="1:15" ht="14.25">
      <c r="A492" s="17">
        <v>2013</v>
      </c>
      <c r="B492" s="18" t="s">
        <v>453</v>
      </c>
      <c r="C492" s="18" t="s">
        <v>454</v>
      </c>
      <c r="D492" s="19">
        <v>223000</v>
      </c>
      <c r="E492" s="19">
        <v>0</v>
      </c>
      <c r="F492" s="19"/>
      <c r="G492" s="19">
        <v>470</v>
      </c>
      <c r="H492" s="19">
        <v>9.3</v>
      </c>
      <c r="I492" s="19" t="s">
        <v>459</v>
      </c>
      <c r="J492" s="19" t="s">
        <v>467</v>
      </c>
      <c r="K492" s="19" t="b">
        <v>1</v>
      </c>
      <c r="L492" s="15">
        <v>2015</v>
      </c>
      <c r="M492" s="16">
        <v>0.0418</v>
      </c>
      <c r="N492" s="20">
        <v>41451</v>
      </c>
      <c r="O492" s="20">
        <v>41451</v>
      </c>
    </row>
    <row r="493" spans="1:15" ht="14.25">
      <c r="A493" s="17">
        <v>2013</v>
      </c>
      <c r="B493" s="18" t="s">
        <v>453</v>
      </c>
      <c r="C493" s="18" t="s">
        <v>454</v>
      </c>
      <c r="D493" s="19">
        <v>223000</v>
      </c>
      <c r="E493" s="19">
        <v>0</v>
      </c>
      <c r="F493" s="19"/>
      <c r="G493" s="19">
        <v>380</v>
      </c>
      <c r="H493" s="19">
        <v>6.2</v>
      </c>
      <c r="I493" s="19" t="s">
        <v>466</v>
      </c>
      <c r="J493" s="19" t="s">
        <v>90</v>
      </c>
      <c r="K493" s="19" t="b">
        <v>0</v>
      </c>
      <c r="L493" s="15">
        <v>2015</v>
      </c>
      <c r="M493" s="16">
        <v>0.2873</v>
      </c>
      <c r="N493" s="20">
        <v>41451</v>
      </c>
      <c r="O493" s="20">
        <v>41451</v>
      </c>
    </row>
    <row r="494" spans="1:15" ht="14.25">
      <c r="A494" s="17">
        <v>2013</v>
      </c>
      <c r="B494" s="18" t="s">
        <v>453</v>
      </c>
      <c r="C494" s="18" t="s">
        <v>454</v>
      </c>
      <c r="D494" s="19">
        <v>223000</v>
      </c>
      <c r="E494" s="19">
        <v>0</v>
      </c>
      <c r="F494" s="19"/>
      <c r="G494" s="19">
        <v>130</v>
      </c>
      <c r="H494" s="19">
        <v>2.1</v>
      </c>
      <c r="I494" s="19"/>
      <c r="J494" s="19" t="s">
        <v>58</v>
      </c>
      <c r="K494" s="19" t="b">
        <v>1</v>
      </c>
      <c r="L494" s="15">
        <v>2024</v>
      </c>
      <c r="M494" s="16">
        <v>84931321</v>
      </c>
      <c r="N494" s="20">
        <v>41451</v>
      </c>
      <c r="O494" s="20">
        <v>41451</v>
      </c>
    </row>
    <row r="495" spans="1:15" ht="14.25">
      <c r="A495" s="17">
        <v>2013</v>
      </c>
      <c r="B495" s="18" t="s">
        <v>453</v>
      </c>
      <c r="C495" s="18" t="s">
        <v>454</v>
      </c>
      <c r="D495" s="19">
        <v>223000</v>
      </c>
      <c r="E495" s="19">
        <v>0</v>
      </c>
      <c r="F495" s="19"/>
      <c r="G495" s="19">
        <v>120</v>
      </c>
      <c r="H495" s="19">
        <v>2</v>
      </c>
      <c r="I495" s="19" t="s">
        <v>469</v>
      </c>
      <c r="J495" s="19" t="s">
        <v>21</v>
      </c>
      <c r="K495" s="19" t="b">
        <v>0</v>
      </c>
      <c r="L495" s="15">
        <v>2019</v>
      </c>
      <c r="M495" s="16">
        <v>80839242</v>
      </c>
      <c r="N495" s="20">
        <v>41451</v>
      </c>
      <c r="O495" s="20">
        <v>41451</v>
      </c>
    </row>
    <row r="496" spans="1:15" ht="14.25">
      <c r="A496" s="17">
        <v>2013</v>
      </c>
      <c r="B496" s="18" t="s">
        <v>453</v>
      </c>
      <c r="C496" s="18" t="s">
        <v>454</v>
      </c>
      <c r="D496" s="19">
        <v>223000</v>
      </c>
      <c r="E496" s="19">
        <v>0</v>
      </c>
      <c r="F496" s="19"/>
      <c r="G496" s="19">
        <v>100</v>
      </c>
      <c r="H496" s="19" t="s">
        <v>54</v>
      </c>
      <c r="I496" s="19"/>
      <c r="J496" s="19" t="s">
        <v>55</v>
      </c>
      <c r="K496" s="19" t="b">
        <v>1</v>
      </c>
      <c r="L496" s="15">
        <v>2023</v>
      </c>
      <c r="M496" s="16">
        <v>1160000</v>
      </c>
      <c r="N496" s="20">
        <v>41451</v>
      </c>
      <c r="O496" s="20">
        <v>41451</v>
      </c>
    </row>
    <row r="497" spans="1:15" ht="14.25">
      <c r="A497" s="17">
        <v>2013</v>
      </c>
      <c r="B497" s="18" t="s">
        <v>453</v>
      </c>
      <c r="C497" s="18" t="s">
        <v>454</v>
      </c>
      <c r="D497" s="19">
        <v>223000</v>
      </c>
      <c r="E497" s="19">
        <v>0</v>
      </c>
      <c r="F497" s="19"/>
      <c r="G497" s="19">
        <v>600</v>
      </c>
      <c r="H497" s="19">
        <v>11.3</v>
      </c>
      <c r="I497" s="19" t="s">
        <v>468</v>
      </c>
      <c r="J497" s="19" t="s">
        <v>113</v>
      </c>
      <c r="K497" s="19" t="b">
        <v>1</v>
      </c>
      <c r="L497" s="15">
        <v>2015</v>
      </c>
      <c r="M497" s="16">
        <v>13343053</v>
      </c>
      <c r="N497" s="20">
        <v>41451</v>
      </c>
      <c r="O497" s="20">
        <v>41451</v>
      </c>
    </row>
    <row r="498" spans="1:15" ht="14.25">
      <c r="A498" s="17">
        <v>2013</v>
      </c>
      <c r="B498" s="18" t="s">
        <v>453</v>
      </c>
      <c r="C498" s="18" t="s">
        <v>454</v>
      </c>
      <c r="D498" s="19">
        <v>223000</v>
      </c>
      <c r="E498" s="19">
        <v>0</v>
      </c>
      <c r="F498" s="19"/>
      <c r="G498" s="19">
        <v>730</v>
      </c>
      <c r="H498" s="19">
        <v>12.3</v>
      </c>
      <c r="I498" s="19"/>
      <c r="J498" s="19" t="s">
        <v>132</v>
      </c>
      <c r="K498" s="19" t="b">
        <v>0</v>
      </c>
      <c r="L498" s="15">
        <v>2013</v>
      </c>
      <c r="M498" s="16">
        <v>792531</v>
      </c>
      <c r="N498" s="20">
        <v>41451</v>
      </c>
      <c r="O498" s="20">
        <v>41451</v>
      </c>
    </row>
    <row r="499" spans="1:15" ht="14.25">
      <c r="A499" s="17">
        <v>2013</v>
      </c>
      <c r="B499" s="18" t="s">
        <v>453</v>
      </c>
      <c r="C499" s="18" t="s">
        <v>454</v>
      </c>
      <c r="D499" s="19">
        <v>223000</v>
      </c>
      <c r="E499" s="19">
        <v>0</v>
      </c>
      <c r="F499" s="19"/>
      <c r="G499" s="19">
        <v>310</v>
      </c>
      <c r="H499" s="19">
        <v>5.1</v>
      </c>
      <c r="I499" s="19"/>
      <c r="J499" s="19" t="s">
        <v>81</v>
      </c>
      <c r="K499" s="19" t="b">
        <v>1</v>
      </c>
      <c r="L499" s="15">
        <v>2025</v>
      </c>
      <c r="M499" s="16">
        <v>500000</v>
      </c>
      <c r="N499" s="20">
        <v>41451</v>
      </c>
      <c r="O499" s="20">
        <v>41451</v>
      </c>
    </row>
    <row r="500" spans="1:15" ht="14.25">
      <c r="A500" s="17">
        <v>2013</v>
      </c>
      <c r="B500" s="18" t="s">
        <v>453</v>
      </c>
      <c r="C500" s="18" t="s">
        <v>454</v>
      </c>
      <c r="D500" s="19">
        <v>223000</v>
      </c>
      <c r="E500" s="19">
        <v>0</v>
      </c>
      <c r="F500" s="19"/>
      <c r="G500" s="19">
        <v>30</v>
      </c>
      <c r="H500" s="19" t="s">
        <v>41</v>
      </c>
      <c r="I500" s="19"/>
      <c r="J500" s="19" t="s">
        <v>42</v>
      </c>
      <c r="K500" s="19" t="b">
        <v>1</v>
      </c>
      <c r="L500" s="15">
        <v>2025</v>
      </c>
      <c r="M500" s="16">
        <v>34000000</v>
      </c>
      <c r="N500" s="20">
        <v>41451</v>
      </c>
      <c r="O500" s="20">
        <v>41451</v>
      </c>
    </row>
    <row r="501" spans="1:15" ht="14.25">
      <c r="A501" s="17">
        <v>2013</v>
      </c>
      <c r="B501" s="18" t="s">
        <v>453</v>
      </c>
      <c r="C501" s="18" t="s">
        <v>454</v>
      </c>
      <c r="D501" s="19">
        <v>223000</v>
      </c>
      <c r="E501" s="19">
        <v>0</v>
      </c>
      <c r="F501" s="19"/>
      <c r="G501" s="19">
        <v>390</v>
      </c>
      <c r="H501" s="19">
        <v>6.3</v>
      </c>
      <c r="I501" s="19" t="s">
        <v>472</v>
      </c>
      <c r="J501" s="19" t="s">
        <v>91</v>
      </c>
      <c r="K501" s="19" t="b">
        <v>0</v>
      </c>
      <c r="L501" s="15">
        <v>2022</v>
      </c>
      <c r="M501" s="16">
        <v>0.0619</v>
      </c>
      <c r="N501" s="20">
        <v>41451</v>
      </c>
      <c r="O501" s="20">
        <v>41451</v>
      </c>
    </row>
    <row r="502" spans="1:15" ht="14.25">
      <c r="A502" s="17">
        <v>2013</v>
      </c>
      <c r="B502" s="18" t="s">
        <v>453</v>
      </c>
      <c r="C502" s="18" t="s">
        <v>454</v>
      </c>
      <c r="D502" s="19">
        <v>223000</v>
      </c>
      <c r="E502" s="19">
        <v>0</v>
      </c>
      <c r="F502" s="19"/>
      <c r="G502" s="19">
        <v>170</v>
      </c>
      <c r="H502" s="19" t="s">
        <v>65</v>
      </c>
      <c r="I502" s="19"/>
      <c r="J502" s="19" t="s">
        <v>66</v>
      </c>
      <c r="K502" s="19" t="b">
        <v>1</v>
      </c>
      <c r="L502" s="15">
        <v>2026</v>
      </c>
      <c r="M502" s="16">
        <v>18281</v>
      </c>
      <c r="N502" s="20">
        <v>41451</v>
      </c>
      <c r="O502" s="20">
        <v>41451</v>
      </c>
    </row>
    <row r="503" spans="1:15" ht="14.25">
      <c r="A503" s="17">
        <v>2013</v>
      </c>
      <c r="B503" s="18" t="s">
        <v>453</v>
      </c>
      <c r="C503" s="18" t="s">
        <v>454</v>
      </c>
      <c r="D503" s="19">
        <v>223000</v>
      </c>
      <c r="E503" s="19">
        <v>0</v>
      </c>
      <c r="F503" s="19"/>
      <c r="G503" s="19">
        <v>10</v>
      </c>
      <c r="H503" s="19">
        <v>1</v>
      </c>
      <c r="I503" s="19" t="s">
        <v>457</v>
      </c>
      <c r="J503" s="19" t="s">
        <v>26</v>
      </c>
      <c r="K503" s="19" t="b">
        <v>1</v>
      </c>
      <c r="L503" s="15">
        <v>2024</v>
      </c>
      <c r="M503" s="16">
        <v>87745781</v>
      </c>
      <c r="N503" s="20">
        <v>41451</v>
      </c>
      <c r="O503" s="20">
        <v>41451</v>
      </c>
    </row>
    <row r="504" spans="1:15" ht="14.25">
      <c r="A504" s="17">
        <v>2013</v>
      </c>
      <c r="B504" s="18" t="s">
        <v>453</v>
      </c>
      <c r="C504" s="18" t="s">
        <v>454</v>
      </c>
      <c r="D504" s="19">
        <v>223000</v>
      </c>
      <c r="E504" s="19">
        <v>0</v>
      </c>
      <c r="F504" s="19"/>
      <c r="G504" s="19">
        <v>430</v>
      </c>
      <c r="H504" s="19">
        <v>8.2</v>
      </c>
      <c r="I504" s="19" t="s">
        <v>471</v>
      </c>
      <c r="J504" s="19" t="s">
        <v>94</v>
      </c>
      <c r="K504" s="19" t="b">
        <v>0</v>
      </c>
      <c r="L504" s="15">
        <v>2017</v>
      </c>
      <c r="M504" s="16">
        <v>2001733</v>
      </c>
      <c r="N504" s="20">
        <v>41451</v>
      </c>
      <c r="O504" s="20">
        <v>41451</v>
      </c>
    </row>
    <row r="505" spans="1:15" ht="14.25">
      <c r="A505" s="17">
        <v>2013</v>
      </c>
      <c r="B505" s="18" t="s">
        <v>453</v>
      </c>
      <c r="C505" s="18" t="s">
        <v>454</v>
      </c>
      <c r="D505" s="19">
        <v>223000</v>
      </c>
      <c r="E505" s="19">
        <v>0</v>
      </c>
      <c r="F505" s="19"/>
      <c r="G505" s="19">
        <v>680</v>
      </c>
      <c r="H505" s="19" t="s">
        <v>123</v>
      </c>
      <c r="I505" s="19"/>
      <c r="J505" s="19" t="s">
        <v>124</v>
      </c>
      <c r="K505" s="19" t="b">
        <v>1</v>
      </c>
      <c r="L505" s="15">
        <v>2014</v>
      </c>
      <c r="M505" s="16">
        <v>548683</v>
      </c>
      <c r="N505" s="20">
        <v>41451</v>
      </c>
      <c r="O505" s="20">
        <v>41451</v>
      </c>
    </row>
    <row r="506" spans="1:15" ht="14.25">
      <c r="A506" s="17">
        <v>2013</v>
      </c>
      <c r="B506" s="18" t="s">
        <v>453</v>
      </c>
      <c r="C506" s="18" t="s">
        <v>454</v>
      </c>
      <c r="D506" s="19">
        <v>223000</v>
      </c>
      <c r="E506" s="19">
        <v>0</v>
      </c>
      <c r="F506" s="19"/>
      <c r="G506" s="19">
        <v>480</v>
      </c>
      <c r="H506" s="19">
        <v>9.4</v>
      </c>
      <c r="I506" s="19" t="s">
        <v>461</v>
      </c>
      <c r="J506" s="19" t="s">
        <v>97</v>
      </c>
      <c r="K506" s="19" t="b">
        <v>0</v>
      </c>
      <c r="L506" s="15">
        <v>2023</v>
      </c>
      <c r="M506" s="16">
        <v>0.0276</v>
      </c>
      <c r="N506" s="20">
        <v>41451</v>
      </c>
      <c r="O506" s="20">
        <v>41451</v>
      </c>
    </row>
    <row r="507" spans="1:15" ht="14.25">
      <c r="A507" s="17">
        <v>2013</v>
      </c>
      <c r="B507" s="18" t="s">
        <v>453</v>
      </c>
      <c r="C507" s="18" t="s">
        <v>454</v>
      </c>
      <c r="D507" s="19">
        <v>223000</v>
      </c>
      <c r="E507" s="19">
        <v>0</v>
      </c>
      <c r="F507" s="19"/>
      <c r="G507" s="19">
        <v>430</v>
      </c>
      <c r="H507" s="19">
        <v>8.2</v>
      </c>
      <c r="I507" s="19" t="s">
        <v>471</v>
      </c>
      <c r="J507" s="19" t="s">
        <v>94</v>
      </c>
      <c r="K507" s="19" t="b">
        <v>0</v>
      </c>
      <c r="L507" s="15">
        <v>2019</v>
      </c>
      <c r="M507" s="16">
        <v>2001733</v>
      </c>
      <c r="N507" s="20">
        <v>41451</v>
      </c>
      <c r="O507" s="20">
        <v>41451</v>
      </c>
    </row>
    <row r="508" spans="1:15" ht="14.25">
      <c r="A508" s="17">
        <v>2013</v>
      </c>
      <c r="B508" s="18" t="s">
        <v>453</v>
      </c>
      <c r="C508" s="18" t="s">
        <v>454</v>
      </c>
      <c r="D508" s="19">
        <v>223000</v>
      </c>
      <c r="E508" s="19">
        <v>0</v>
      </c>
      <c r="F508" s="19"/>
      <c r="G508" s="19">
        <v>430</v>
      </c>
      <c r="H508" s="19">
        <v>8.2</v>
      </c>
      <c r="I508" s="19" t="s">
        <v>471</v>
      </c>
      <c r="J508" s="19" t="s">
        <v>94</v>
      </c>
      <c r="K508" s="19" t="b">
        <v>0</v>
      </c>
      <c r="L508" s="15">
        <v>2022</v>
      </c>
      <c r="M508" s="16">
        <v>1654468</v>
      </c>
      <c r="N508" s="20">
        <v>41451</v>
      </c>
      <c r="O508" s="20">
        <v>41451</v>
      </c>
    </row>
    <row r="509" spans="1:15" ht="14.25">
      <c r="A509" s="17">
        <v>2013</v>
      </c>
      <c r="B509" s="18" t="s">
        <v>453</v>
      </c>
      <c r="C509" s="18" t="s">
        <v>454</v>
      </c>
      <c r="D509" s="19">
        <v>223000</v>
      </c>
      <c r="E509" s="19">
        <v>0</v>
      </c>
      <c r="F509" s="19"/>
      <c r="G509" s="19">
        <v>780</v>
      </c>
      <c r="H509" s="19" t="s">
        <v>140</v>
      </c>
      <c r="I509" s="19"/>
      <c r="J509" s="19" t="s">
        <v>141</v>
      </c>
      <c r="K509" s="19" t="b">
        <v>1</v>
      </c>
      <c r="L509" s="15">
        <v>2013</v>
      </c>
      <c r="M509" s="16">
        <v>256273</v>
      </c>
      <c r="N509" s="20">
        <v>41451</v>
      </c>
      <c r="O509" s="20">
        <v>41451</v>
      </c>
    </row>
    <row r="510" spans="1:15" ht="14.25">
      <c r="A510" s="17">
        <v>2013</v>
      </c>
      <c r="B510" s="18" t="s">
        <v>453</v>
      </c>
      <c r="C510" s="18" t="s">
        <v>454</v>
      </c>
      <c r="D510" s="19">
        <v>223000</v>
      </c>
      <c r="E510" s="19">
        <v>0</v>
      </c>
      <c r="F510" s="19"/>
      <c r="G510" s="19">
        <v>430</v>
      </c>
      <c r="H510" s="19">
        <v>8.2</v>
      </c>
      <c r="I510" s="19" t="s">
        <v>471</v>
      </c>
      <c r="J510" s="19" t="s">
        <v>94</v>
      </c>
      <c r="K510" s="19" t="b">
        <v>0</v>
      </c>
      <c r="L510" s="15">
        <v>2023</v>
      </c>
      <c r="M510" s="16">
        <v>1654468</v>
      </c>
      <c r="N510" s="20">
        <v>41451</v>
      </c>
      <c r="O510" s="20">
        <v>41451</v>
      </c>
    </row>
    <row r="511" spans="1:15" ht="14.25">
      <c r="A511" s="17">
        <v>2013</v>
      </c>
      <c r="B511" s="18" t="s">
        <v>453</v>
      </c>
      <c r="C511" s="18" t="s">
        <v>454</v>
      </c>
      <c r="D511" s="19">
        <v>223000</v>
      </c>
      <c r="E511" s="19">
        <v>0</v>
      </c>
      <c r="F511" s="19"/>
      <c r="G511" s="19">
        <v>90</v>
      </c>
      <c r="H511" s="19">
        <v>1.2</v>
      </c>
      <c r="I511" s="19"/>
      <c r="J511" s="19" t="s">
        <v>53</v>
      </c>
      <c r="K511" s="19" t="b">
        <v>1</v>
      </c>
      <c r="L511" s="15">
        <v>2022</v>
      </c>
      <c r="M511" s="16">
        <v>1160000</v>
      </c>
      <c r="N511" s="20">
        <v>41451</v>
      </c>
      <c r="O511" s="20">
        <v>41451</v>
      </c>
    </row>
    <row r="512" spans="1:15" ht="14.25">
      <c r="A512" s="17">
        <v>2013</v>
      </c>
      <c r="B512" s="18" t="s">
        <v>453</v>
      </c>
      <c r="C512" s="18" t="s">
        <v>454</v>
      </c>
      <c r="D512" s="19">
        <v>223000</v>
      </c>
      <c r="E512" s="19">
        <v>0</v>
      </c>
      <c r="F512" s="19"/>
      <c r="G512" s="19">
        <v>350</v>
      </c>
      <c r="H512" s="19">
        <v>6</v>
      </c>
      <c r="I512" s="19"/>
      <c r="J512" s="19" t="s">
        <v>27</v>
      </c>
      <c r="K512" s="19" t="b">
        <v>1</v>
      </c>
      <c r="L512" s="15">
        <v>2013</v>
      </c>
      <c r="M512" s="16">
        <v>49895447</v>
      </c>
      <c r="N512" s="20">
        <v>41451</v>
      </c>
      <c r="O512" s="20">
        <v>41451</v>
      </c>
    </row>
    <row r="513" spans="1:15" ht="14.25">
      <c r="A513" s="17">
        <v>2013</v>
      </c>
      <c r="B513" s="18" t="s">
        <v>453</v>
      </c>
      <c r="C513" s="18" t="s">
        <v>454</v>
      </c>
      <c r="D513" s="19">
        <v>223000</v>
      </c>
      <c r="E513" s="19">
        <v>0</v>
      </c>
      <c r="F513" s="19"/>
      <c r="G513" s="19">
        <v>170</v>
      </c>
      <c r="H513" s="19" t="s">
        <v>65</v>
      </c>
      <c r="I513" s="19"/>
      <c r="J513" s="19" t="s">
        <v>66</v>
      </c>
      <c r="K513" s="19" t="b">
        <v>1</v>
      </c>
      <c r="L513" s="15">
        <v>2017</v>
      </c>
      <c r="M513" s="16">
        <v>1068599</v>
      </c>
      <c r="N513" s="20">
        <v>41451</v>
      </c>
      <c r="O513" s="20">
        <v>41451</v>
      </c>
    </row>
    <row r="514" spans="1:15" ht="14.25">
      <c r="A514" s="17">
        <v>2013</v>
      </c>
      <c r="B514" s="18" t="s">
        <v>453</v>
      </c>
      <c r="C514" s="18" t="s">
        <v>454</v>
      </c>
      <c r="D514" s="19">
        <v>223000</v>
      </c>
      <c r="E514" s="19">
        <v>0</v>
      </c>
      <c r="F514" s="19"/>
      <c r="G514" s="19">
        <v>730</v>
      </c>
      <c r="H514" s="19">
        <v>12.3</v>
      </c>
      <c r="I514" s="19"/>
      <c r="J514" s="19" t="s">
        <v>132</v>
      </c>
      <c r="K514" s="19" t="b">
        <v>0</v>
      </c>
      <c r="L514" s="15">
        <v>2015</v>
      </c>
      <c r="M514" s="16">
        <v>140650</v>
      </c>
      <c r="N514" s="20">
        <v>41451</v>
      </c>
      <c r="O514" s="20">
        <v>41451</v>
      </c>
    </row>
    <row r="515" spans="1:15" ht="14.25">
      <c r="A515" s="17">
        <v>2013</v>
      </c>
      <c r="B515" s="18" t="s">
        <v>453</v>
      </c>
      <c r="C515" s="18" t="s">
        <v>454</v>
      </c>
      <c r="D515" s="19">
        <v>223000</v>
      </c>
      <c r="E515" s="19">
        <v>0</v>
      </c>
      <c r="F515" s="19"/>
      <c r="G515" s="19">
        <v>530</v>
      </c>
      <c r="H515" s="19">
        <v>9.8</v>
      </c>
      <c r="I515" s="19" t="s">
        <v>462</v>
      </c>
      <c r="J515" s="19" t="s">
        <v>105</v>
      </c>
      <c r="K515" s="19" t="b">
        <v>0</v>
      </c>
      <c r="L515" s="15">
        <v>2014</v>
      </c>
      <c r="M515" s="16">
        <v>404</v>
      </c>
      <c r="N515" s="20">
        <v>41451</v>
      </c>
      <c r="O515" s="20">
        <v>41451</v>
      </c>
    </row>
    <row r="516" spans="1:15" ht="14.25">
      <c r="A516" s="17">
        <v>2013</v>
      </c>
      <c r="B516" s="18" t="s">
        <v>453</v>
      </c>
      <c r="C516" s="18" t="s">
        <v>454</v>
      </c>
      <c r="D516" s="19">
        <v>223000</v>
      </c>
      <c r="E516" s="19">
        <v>0</v>
      </c>
      <c r="F516" s="19"/>
      <c r="G516" s="19">
        <v>520</v>
      </c>
      <c r="H516" s="19" t="s">
        <v>103</v>
      </c>
      <c r="I516" s="19"/>
      <c r="J516" s="19" t="s">
        <v>470</v>
      </c>
      <c r="K516" s="19" t="b">
        <v>1</v>
      </c>
      <c r="L516" s="15">
        <v>2019</v>
      </c>
      <c r="M516" s="16">
        <v>0.0661</v>
      </c>
      <c r="N516" s="20">
        <v>41451</v>
      </c>
      <c r="O516" s="20">
        <v>41451</v>
      </c>
    </row>
    <row r="517" spans="1:15" ht="14.25">
      <c r="A517" s="17">
        <v>2013</v>
      </c>
      <c r="B517" s="18" t="s">
        <v>453</v>
      </c>
      <c r="C517" s="18" t="s">
        <v>454</v>
      </c>
      <c r="D517" s="19">
        <v>223000</v>
      </c>
      <c r="E517" s="19">
        <v>0</v>
      </c>
      <c r="F517" s="19"/>
      <c r="G517" s="19">
        <v>180</v>
      </c>
      <c r="H517" s="19" t="s">
        <v>67</v>
      </c>
      <c r="I517" s="19"/>
      <c r="J517" s="19" t="s">
        <v>68</v>
      </c>
      <c r="K517" s="19" t="b">
        <v>0</v>
      </c>
      <c r="L517" s="15">
        <v>2014</v>
      </c>
      <c r="M517" s="16">
        <v>1534512</v>
      </c>
      <c r="N517" s="20">
        <v>41451</v>
      </c>
      <c r="O517" s="20">
        <v>41451</v>
      </c>
    </row>
    <row r="518" spans="1:15" ht="14.25">
      <c r="A518" s="17">
        <v>2013</v>
      </c>
      <c r="B518" s="18" t="s">
        <v>453</v>
      </c>
      <c r="C518" s="18" t="s">
        <v>454</v>
      </c>
      <c r="D518" s="19">
        <v>223000</v>
      </c>
      <c r="E518" s="19">
        <v>0</v>
      </c>
      <c r="F518" s="19"/>
      <c r="G518" s="19">
        <v>380</v>
      </c>
      <c r="H518" s="19">
        <v>6.2</v>
      </c>
      <c r="I518" s="19" t="s">
        <v>466</v>
      </c>
      <c r="J518" s="19" t="s">
        <v>90</v>
      </c>
      <c r="K518" s="19" t="b">
        <v>0</v>
      </c>
      <c r="L518" s="15">
        <v>2017</v>
      </c>
      <c r="M518" s="16">
        <v>0.2132</v>
      </c>
      <c r="N518" s="20">
        <v>41451</v>
      </c>
      <c r="O518" s="20">
        <v>41451</v>
      </c>
    </row>
    <row r="519" spans="1:15" ht="14.25">
      <c r="A519" s="17">
        <v>2013</v>
      </c>
      <c r="B519" s="18" t="s">
        <v>453</v>
      </c>
      <c r="C519" s="18" t="s">
        <v>454</v>
      </c>
      <c r="D519" s="19">
        <v>223000</v>
      </c>
      <c r="E519" s="19">
        <v>0</v>
      </c>
      <c r="F519" s="19"/>
      <c r="G519" s="19">
        <v>200</v>
      </c>
      <c r="H519" s="19">
        <v>3</v>
      </c>
      <c r="I519" s="19" t="s">
        <v>455</v>
      </c>
      <c r="J519" s="19" t="s">
        <v>23</v>
      </c>
      <c r="K519" s="19" t="b">
        <v>0</v>
      </c>
      <c r="L519" s="15">
        <v>2016</v>
      </c>
      <c r="M519" s="16">
        <v>2501733</v>
      </c>
      <c r="N519" s="20">
        <v>41451</v>
      </c>
      <c r="O519" s="20">
        <v>41451</v>
      </c>
    </row>
    <row r="520" spans="1:15" ht="14.25">
      <c r="A520" s="17">
        <v>2013</v>
      </c>
      <c r="B520" s="18" t="s">
        <v>453</v>
      </c>
      <c r="C520" s="18" t="s">
        <v>454</v>
      </c>
      <c r="D520" s="19">
        <v>223000</v>
      </c>
      <c r="E520" s="19">
        <v>0</v>
      </c>
      <c r="F520" s="19"/>
      <c r="G520" s="19">
        <v>600</v>
      </c>
      <c r="H520" s="19">
        <v>11.3</v>
      </c>
      <c r="I520" s="19" t="s">
        <v>468</v>
      </c>
      <c r="J520" s="19" t="s">
        <v>113</v>
      </c>
      <c r="K520" s="19" t="b">
        <v>1</v>
      </c>
      <c r="L520" s="15">
        <v>2016</v>
      </c>
      <c r="M520" s="16">
        <v>7000000</v>
      </c>
      <c r="N520" s="20">
        <v>41451</v>
      </c>
      <c r="O520" s="20">
        <v>41451</v>
      </c>
    </row>
    <row r="521" spans="1:15" ht="14.25">
      <c r="A521" s="17">
        <v>2013</v>
      </c>
      <c r="B521" s="18" t="s">
        <v>453</v>
      </c>
      <c r="C521" s="18" t="s">
        <v>454</v>
      </c>
      <c r="D521" s="19">
        <v>223000</v>
      </c>
      <c r="E521" s="19">
        <v>0</v>
      </c>
      <c r="F521" s="19"/>
      <c r="G521" s="19">
        <v>460</v>
      </c>
      <c r="H521" s="19">
        <v>9.2</v>
      </c>
      <c r="I521" s="19" t="s">
        <v>461</v>
      </c>
      <c r="J521" s="19" t="s">
        <v>96</v>
      </c>
      <c r="K521" s="19" t="b">
        <v>0</v>
      </c>
      <c r="L521" s="15">
        <v>2020</v>
      </c>
      <c r="M521" s="16">
        <v>0.0373</v>
      </c>
      <c r="N521" s="20">
        <v>41451</v>
      </c>
      <c r="O521" s="20">
        <v>41451</v>
      </c>
    </row>
    <row r="522" spans="1:15" ht="14.25">
      <c r="A522" s="17">
        <v>2013</v>
      </c>
      <c r="B522" s="18" t="s">
        <v>453</v>
      </c>
      <c r="C522" s="18" t="s">
        <v>454</v>
      </c>
      <c r="D522" s="19">
        <v>223000</v>
      </c>
      <c r="E522" s="19">
        <v>0</v>
      </c>
      <c r="F522" s="19"/>
      <c r="G522" s="19">
        <v>550</v>
      </c>
      <c r="H522" s="19">
        <v>10</v>
      </c>
      <c r="I522" s="19"/>
      <c r="J522" s="19" t="s">
        <v>108</v>
      </c>
      <c r="K522" s="19" t="b">
        <v>0</v>
      </c>
      <c r="L522" s="15">
        <v>2015</v>
      </c>
      <c r="M522" s="16">
        <v>2501733</v>
      </c>
      <c r="N522" s="20">
        <v>41451</v>
      </c>
      <c r="O522" s="20">
        <v>41451</v>
      </c>
    </row>
    <row r="523" spans="1:15" ht="14.25">
      <c r="A523" s="17">
        <v>2013</v>
      </c>
      <c r="B523" s="18" t="s">
        <v>453</v>
      </c>
      <c r="C523" s="18" t="s">
        <v>454</v>
      </c>
      <c r="D523" s="19">
        <v>223000</v>
      </c>
      <c r="E523" s="19">
        <v>0</v>
      </c>
      <c r="F523" s="19"/>
      <c r="G523" s="19">
        <v>20</v>
      </c>
      <c r="H523" s="19">
        <v>1.1</v>
      </c>
      <c r="I523" s="19"/>
      <c r="J523" s="19" t="s">
        <v>40</v>
      </c>
      <c r="K523" s="19" t="b">
        <v>1</v>
      </c>
      <c r="L523" s="15">
        <v>2017</v>
      </c>
      <c r="M523" s="16">
        <v>80295313</v>
      </c>
      <c r="N523" s="20">
        <v>41451</v>
      </c>
      <c r="O523" s="20">
        <v>41451</v>
      </c>
    </row>
    <row r="524" spans="1:15" ht="14.25">
      <c r="A524" s="17">
        <v>2013</v>
      </c>
      <c r="B524" s="18" t="s">
        <v>453</v>
      </c>
      <c r="C524" s="18" t="s">
        <v>454</v>
      </c>
      <c r="D524" s="19">
        <v>223000</v>
      </c>
      <c r="E524" s="19">
        <v>0</v>
      </c>
      <c r="F524" s="19"/>
      <c r="G524" s="19">
        <v>880</v>
      </c>
      <c r="H524" s="19">
        <v>14.1</v>
      </c>
      <c r="I524" s="19"/>
      <c r="J524" s="19" t="s">
        <v>151</v>
      </c>
      <c r="K524" s="19" t="b">
        <v>1</v>
      </c>
      <c r="L524" s="15">
        <v>2016</v>
      </c>
      <c r="M524" s="16">
        <v>2501733</v>
      </c>
      <c r="N524" s="20">
        <v>41451</v>
      </c>
      <c r="O524" s="20">
        <v>41451</v>
      </c>
    </row>
    <row r="525" spans="1:15" ht="14.25">
      <c r="A525" s="17">
        <v>2013</v>
      </c>
      <c r="B525" s="18" t="s">
        <v>453</v>
      </c>
      <c r="C525" s="18" t="s">
        <v>454</v>
      </c>
      <c r="D525" s="19">
        <v>223000</v>
      </c>
      <c r="E525" s="19">
        <v>0</v>
      </c>
      <c r="F525" s="19"/>
      <c r="G525" s="19">
        <v>310</v>
      </c>
      <c r="H525" s="19">
        <v>5.1</v>
      </c>
      <c r="I525" s="19"/>
      <c r="J525" s="19" t="s">
        <v>81</v>
      </c>
      <c r="K525" s="19" t="b">
        <v>1</v>
      </c>
      <c r="L525" s="15">
        <v>2019</v>
      </c>
      <c r="M525" s="16">
        <v>2501733</v>
      </c>
      <c r="N525" s="20">
        <v>41451</v>
      </c>
      <c r="O525" s="20">
        <v>41451</v>
      </c>
    </row>
    <row r="526" spans="1:15" ht="14.25">
      <c r="A526" s="17">
        <v>2013</v>
      </c>
      <c r="B526" s="18" t="s">
        <v>453</v>
      </c>
      <c r="C526" s="18" t="s">
        <v>454</v>
      </c>
      <c r="D526" s="19">
        <v>223000</v>
      </c>
      <c r="E526" s="19">
        <v>0</v>
      </c>
      <c r="F526" s="19"/>
      <c r="G526" s="19">
        <v>580</v>
      </c>
      <c r="H526" s="19">
        <v>11.1</v>
      </c>
      <c r="I526" s="19"/>
      <c r="J526" s="19" t="s">
        <v>111</v>
      </c>
      <c r="K526" s="19" t="b">
        <v>0</v>
      </c>
      <c r="L526" s="15">
        <v>2021</v>
      </c>
      <c r="M526" s="16">
        <v>33600000</v>
      </c>
      <c r="N526" s="20">
        <v>41451</v>
      </c>
      <c r="O526" s="20">
        <v>41451</v>
      </c>
    </row>
    <row r="527" spans="1:15" ht="14.25">
      <c r="A527" s="17">
        <v>2013</v>
      </c>
      <c r="B527" s="18" t="s">
        <v>453</v>
      </c>
      <c r="C527" s="18" t="s">
        <v>454</v>
      </c>
      <c r="D527" s="19">
        <v>223000</v>
      </c>
      <c r="E527" s="19">
        <v>0</v>
      </c>
      <c r="F527" s="19"/>
      <c r="G527" s="19">
        <v>890</v>
      </c>
      <c r="H527" s="19">
        <v>14.2</v>
      </c>
      <c r="I527" s="19"/>
      <c r="J527" s="19" t="s">
        <v>152</v>
      </c>
      <c r="K527" s="19" t="b">
        <v>1</v>
      </c>
      <c r="L527" s="15">
        <v>2015</v>
      </c>
      <c r="M527" s="16">
        <v>4000000</v>
      </c>
      <c r="N527" s="20">
        <v>41451</v>
      </c>
      <c r="O527" s="20">
        <v>41451</v>
      </c>
    </row>
    <row r="528" spans="1:15" ht="14.25">
      <c r="A528" s="17">
        <v>2013</v>
      </c>
      <c r="B528" s="18" t="s">
        <v>453</v>
      </c>
      <c r="C528" s="18" t="s">
        <v>454</v>
      </c>
      <c r="D528" s="19">
        <v>223000</v>
      </c>
      <c r="E528" s="19">
        <v>0</v>
      </c>
      <c r="F528" s="19"/>
      <c r="G528" s="19">
        <v>70</v>
      </c>
      <c r="H528" s="19" t="s">
        <v>49</v>
      </c>
      <c r="I528" s="19"/>
      <c r="J528" s="19" t="s">
        <v>50</v>
      </c>
      <c r="K528" s="19" t="b">
        <v>1</v>
      </c>
      <c r="L528" s="15">
        <v>2018</v>
      </c>
      <c r="M528" s="16">
        <v>25500000</v>
      </c>
      <c r="N528" s="20">
        <v>41451</v>
      </c>
      <c r="O528" s="20">
        <v>41451</v>
      </c>
    </row>
    <row r="529" spans="1:15" ht="14.25">
      <c r="A529" s="17">
        <v>2013</v>
      </c>
      <c r="B529" s="18" t="s">
        <v>453</v>
      </c>
      <c r="C529" s="18" t="s">
        <v>454</v>
      </c>
      <c r="D529" s="19">
        <v>223000</v>
      </c>
      <c r="E529" s="19">
        <v>0</v>
      </c>
      <c r="F529" s="19"/>
      <c r="G529" s="19">
        <v>740</v>
      </c>
      <c r="H529" s="19" t="s">
        <v>133</v>
      </c>
      <c r="I529" s="19"/>
      <c r="J529" s="19" t="s">
        <v>134</v>
      </c>
      <c r="K529" s="19" t="b">
        <v>0</v>
      </c>
      <c r="L529" s="15">
        <v>2013</v>
      </c>
      <c r="M529" s="16">
        <v>680232</v>
      </c>
      <c r="N529" s="20">
        <v>41451</v>
      </c>
      <c r="O529" s="20">
        <v>41451</v>
      </c>
    </row>
    <row r="530" spans="1:15" ht="14.25">
      <c r="A530" s="17">
        <v>2013</v>
      </c>
      <c r="B530" s="18" t="s">
        <v>453</v>
      </c>
      <c r="C530" s="18" t="s">
        <v>454</v>
      </c>
      <c r="D530" s="19">
        <v>223000</v>
      </c>
      <c r="E530" s="19">
        <v>0</v>
      </c>
      <c r="F530" s="19"/>
      <c r="G530" s="19">
        <v>670</v>
      </c>
      <c r="H530" s="19">
        <v>12.1</v>
      </c>
      <c r="I530" s="19"/>
      <c r="J530" s="19" t="s">
        <v>122</v>
      </c>
      <c r="K530" s="19" t="b">
        <v>1</v>
      </c>
      <c r="L530" s="15">
        <v>2015</v>
      </c>
      <c r="M530" s="16">
        <v>140650</v>
      </c>
      <c r="N530" s="20">
        <v>41451</v>
      </c>
      <c r="O530" s="20">
        <v>41451</v>
      </c>
    </row>
    <row r="531" spans="1:15" ht="14.25">
      <c r="A531" s="17">
        <v>2013</v>
      </c>
      <c r="B531" s="18" t="s">
        <v>453</v>
      </c>
      <c r="C531" s="18" t="s">
        <v>454</v>
      </c>
      <c r="D531" s="19">
        <v>223000</v>
      </c>
      <c r="E531" s="19">
        <v>0</v>
      </c>
      <c r="F531" s="19"/>
      <c r="G531" s="19">
        <v>560</v>
      </c>
      <c r="H531" s="19">
        <v>10.1</v>
      </c>
      <c r="I531" s="19"/>
      <c r="J531" s="19" t="s">
        <v>109</v>
      </c>
      <c r="K531" s="19" t="b">
        <v>0</v>
      </c>
      <c r="L531" s="15">
        <v>2022</v>
      </c>
      <c r="M531" s="16">
        <v>2154468</v>
      </c>
      <c r="N531" s="20">
        <v>41451</v>
      </c>
      <c r="O531" s="20">
        <v>41451</v>
      </c>
    </row>
    <row r="532" spans="1:15" ht="14.25">
      <c r="A532" s="17">
        <v>2013</v>
      </c>
      <c r="B532" s="18" t="s">
        <v>453</v>
      </c>
      <c r="C532" s="18" t="s">
        <v>454</v>
      </c>
      <c r="D532" s="19">
        <v>223000</v>
      </c>
      <c r="E532" s="19">
        <v>0</v>
      </c>
      <c r="F532" s="19"/>
      <c r="G532" s="19">
        <v>505</v>
      </c>
      <c r="H532" s="19" t="s">
        <v>100</v>
      </c>
      <c r="I532" s="19" t="s">
        <v>464</v>
      </c>
      <c r="J532" s="19" t="s">
        <v>101</v>
      </c>
      <c r="K532" s="19" t="b">
        <v>0</v>
      </c>
      <c r="L532" s="15">
        <v>2022</v>
      </c>
      <c r="M532" s="16">
        <v>0.0328</v>
      </c>
      <c r="N532" s="20">
        <v>41451</v>
      </c>
      <c r="O532" s="20">
        <v>41451</v>
      </c>
    </row>
    <row r="533" spans="1:15" ht="14.25">
      <c r="A533" s="17">
        <v>2013</v>
      </c>
      <c r="B533" s="18" t="s">
        <v>453</v>
      </c>
      <c r="C533" s="18" t="s">
        <v>454</v>
      </c>
      <c r="D533" s="19">
        <v>223000</v>
      </c>
      <c r="E533" s="19">
        <v>0</v>
      </c>
      <c r="F533" s="19"/>
      <c r="G533" s="19">
        <v>480</v>
      </c>
      <c r="H533" s="19">
        <v>9.4</v>
      </c>
      <c r="I533" s="19" t="s">
        <v>461</v>
      </c>
      <c r="J533" s="19" t="s">
        <v>97</v>
      </c>
      <c r="K533" s="19" t="b">
        <v>0</v>
      </c>
      <c r="L533" s="15">
        <v>2016</v>
      </c>
      <c r="M533" s="16">
        <v>0.0427</v>
      </c>
      <c r="N533" s="20">
        <v>41451</v>
      </c>
      <c r="O533" s="20">
        <v>41451</v>
      </c>
    </row>
    <row r="534" spans="1:15" ht="14.25">
      <c r="A534" s="17">
        <v>2013</v>
      </c>
      <c r="B534" s="18" t="s">
        <v>453</v>
      </c>
      <c r="C534" s="18" t="s">
        <v>454</v>
      </c>
      <c r="D534" s="19">
        <v>223000</v>
      </c>
      <c r="E534" s="19">
        <v>0</v>
      </c>
      <c r="F534" s="19"/>
      <c r="G534" s="19">
        <v>100</v>
      </c>
      <c r="H534" s="19" t="s">
        <v>54</v>
      </c>
      <c r="I534" s="19"/>
      <c r="J534" s="19" t="s">
        <v>55</v>
      </c>
      <c r="K534" s="19" t="b">
        <v>1</v>
      </c>
      <c r="L534" s="15">
        <v>2013</v>
      </c>
      <c r="M534" s="16">
        <v>17761198</v>
      </c>
      <c r="N534" s="20">
        <v>41451</v>
      </c>
      <c r="O534" s="20">
        <v>41451</v>
      </c>
    </row>
    <row r="535" spans="1:15" ht="14.25">
      <c r="A535" s="17">
        <v>2013</v>
      </c>
      <c r="B535" s="18" t="s">
        <v>453</v>
      </c>
      <c r="C535" s="18" t="s">
        <v>454</v>
      </c>
      <c r="D535" s="19">
        <v>223000</v>
      </c>
      <c r="E535" s="19">
        <v>0</v>
      </c>
      <c r="F535" s="19"/>
      <c r="G535" s="19">
        <v>900</v>
      </c>
      <c r="H535" s="19">
        <v>14.3</v>
      </c>
      <c r="I535" s="19"/>
      <c r="J535" s="19" t="s">
        <v>153</v>
      </c>
      <c r="K535" s="19" t="b">
        <v>1</v>
      </c>
      <c r="L535" s="15">
        <v>2016</v>
      </c>
      <c r="M535" s="16">
        <v>4000000</v>
      </c>
      <c r="N535" s="20">
        <v>41451</v>
      </c>
      <c r="O535" s="20">
        <v>41451</v>
      </c>
    </row>
    <row r="536" spans="1:15" ht="14.25">
      <c r="A536" s="17">
        <v>2013</v>
      </c>
      <c r="B536" s="18" t="s">
        <v>453</v>
      </c>
      <c r="C536" s="18" t="s">
        <v>454</v>
      </c>
      <c r="D536" s="19">
        <v>223000</v>
      </c>
      <c r="E536" s="19">
        <v>0</v>
      </c>
      <c r="F536" s="19"/>
      <c r="G536" s="19">
        <v>480</v>
      </c>
      <c r="H536" s="19">
        <v>9.4</v>
      </c>
      <c r="I536" s="19" t="s">
        <v>461</v>
      </c>
      <c r="J536" s="19" t="s">
        <v>97</v>
      </c>
      <c r="K536" s="19" t="b">
        <v>0</v>
      </c>
      <c r="L536" s="15">
        <v>2014</v>
      </c>
      <c r="M536" s="16">
        <v>0.0601</v>
      </c>
      <c r="N536" s="20">
        <v>41451</v>
      </c>
      <c r="O536" s="20">
        <v>41451</v>
      </c>
    </row>
    <row r="537" spans="1:15" ht="14.25">
      <c r="A537" s="17">
        <v>2013</v>
      </c>
      <c r="B537" s="18" t="s">
        <v>453</v>
      </c>
      <c r="C537" s="18" t="s">
        <v>454</v>
      </c>
      <c r="D537" s="19">
        <v>223000</v>
      </c>
      <c r="E537" s="19">
        <v>0</v>
      </c>
      <c r="F537" s="19"/>
      <c r="G537" s="19">
        <v>300</v>
      </c>
      <c r="H537" s="19">
        <v>5</v>
      </c>
      <c r="I537" s="19" t="s">
        <v>458</v>
      </c>
      <c r="J537" s="19" t="s">
        <v>80</v>
      </c>
      <c r="K537" s="19" t="b">
        <v>0</v>
      </c>
      <c r="L537" s="15">
        <v>2015</v>
      </c>
      <c r="M537" s="16">
        <v>2501733</v>
      </c>
      <c r="N537" s="20">
        <v>41451</v>
      </c>
      <c r="O537" s="20">
        <v>41451</v>
      </c>
    </row>
    <row r="538" spans="1:15" ht="14.25">
      <c r="A538" s="17">
        <v>2013</v>
      </c>
      <c r="B538" s="18" t="s">
        <v>453</v>
      </c>
      <c r="C538" s="18" t="s">
        <v>454</v>
      </c>
      <c r="D538" s="19">
        <v>223000</v>
      </c>
      <c r="E538" s="19">
        <v>0</v>
      </c>
      <c r="F538" s="19"/>
      <c r="G538" s="19">
        <v>50</v>
      </c>
      <c r="H538" s="19" t="s">
        <v>45</v>
      </c>
      <c r="I538" s="19"/>
      <c r="J538" s="19" t="s">
        <v>46</v>
      </c>
      <c r="K538" s="19" t="b">
        <v>1</v>
      </c>
      <c r="L538" s="15">
        <v>2020</v>
      </c>
      <c r="M538" s="16">
        <v>7400000</v>
      </c>
      <c r="N538" s="20">
        <v>41451</v>
      </c>
      <c r="O538" s="20">
        <v>41451</v>
      </c>
    </row>
    <row r="539" spans="1:15" ht="14.25">
      <c r="A539" s="17">
        <v>2013</v>
      </c>
      <c r="B539" s="18" t="s">
        <v>453</v>
      </c>
      <c r="C539" s="18" t="s">
        <v>454</v>
      </c>
      <c r="D539" s="19">
        <v>223000</v>
      </c>
      <c r="E539" s="19">
        <v>0</v>
      </c>
      <c r="F539" s="19"/>
      <c r="G539" s="19">
        <v>500</v>
      </c>
      <c r="H539" s="19">
        <v>9.6</v>
      </c>
      <c r="I539" s="19" t="s">
        <v>463</v>
      </c>
      <c r="J539" s="19" t="s">
        <v>99</v>
      </c>
      <c r="K539" s="19" t="b">
        <v>0</v>
      </c>
      <c r="L539" s="15">
        <v>2021</v>
      </c>
      <c r="M539" s="16">
        <v>0.0353</v>
      </c>
      <c r="N539" s="20">
        <v>41451</v>
      </c>
      <c r="O539" s="20">
        <v>41451</v>
      </c>
    </row>
    <row r="540" spans="1:15" ht="14.25">
      <c r="A540" s="17">
        <v>2013</v>
      </c>
      <c r="B540" s="18" t="s">
        <v>453</v>
      </c>
      <c r="C540" s="18" t="s">
        <v>454</v>
      </c>
      <c r="D540" s="19">
        <v>223000</v>
      </c>
      <c r="E540" s="19">
        <v>0</v>
      </c>
      <c r="F540" s="19"/>
      <c r="G540" s="19">
        <v>380</v>
      </c>
      <c r="H540" s="19">
        <v>6.2</v>
      </c>
      <c r="I540" s="19" t="s">
        <v>466</v>
      </c>
      <c r="J540" s="19" t="s">
        <v>90</v>
      </c>
      <c r="K540" s="19" t="b">
        <v>0</v>
      </c>
      <c r="L540" s="15">
        <v>2018</v>
      </c>
      <c r="M540" s="16">
        <v>0.1807</v>
      </c>
      <c r="N540" s="20">
        <v>41451</v>
      </c>
      <c r="O540" s="20">
        <v>41451</v>
      </c>
    </row>
    <row r="541" spans="1:15" ht="14.25">
      <c r="A541" s="17">
        <v>2013</v>
      </c>
      <c r="B541" s="18" t="s">
        <v>453</v>
      </c>
      <c r="C541" s="18" t="s">
        <v>454</v>
      </c>
      <c r="D541" s="19">
        <v>223000</v>
      </c>
      <c r="E541" s="19">
        <v>0</v>
      </c>
      <c r="F541" s="19"/>
      <c r="G541" s="19">
        <v>730</v>
      </c>
      <c r="H541" s="19">
        <v>12.3</v>
      </c>
      <c r="I541" s="19"/>
      <c r="J541" s="19" t="s">
        <v>132</v>
      </c>
      <c r="K541" s="19" t="b">
        <v>0</v>
      </c>
      <c r="L541" s="15">
        <v>2014</v>
      </c>
      <c r="M541" s="16">
        <v>679630</v>
      </c>
      <c r="N541" s="20">
        <v>41451</v>
      </c>
      <c r="O541" s="20">
        <v>41451</v>
      </c>
    </row>
    <row r="542" spans="1:15" ht="14.25">
      <c r="A542" s="17">
        <v>2013</v>
      </c>
      <c r="B542" s="18" t="s">
        <v>453</v>
      </c>
      <c r="C542" s="18" t="s">
        <v>454</v>
      </c>
      <c r="D542" s="19">
        <v>223000</v>
      </c>
      <c r="E542" s="19">
        <v>0</v>
      </c>
      <c r="F542" s="19"/>
      <c r="G542" s="19">
        <v>450</v>
      </c>
      <c r="H542" s="19">
        <v>9.1</v>
      </c>
      <c r="I542" s="19" t="s">
        <v>459</v>
      </c>
      <c r="J542" s="19" t="s">
        <v>95</v>
      </c>
      <c r="K542" s="19" t="b">
        <v>1</v>
      </c>
      <c r="L542" s="15">
        <v>2025</v>
      </c>
      <c r="M542" s="16">
        <v>0.0062</v>
      </c>
      <c r="N542" s="20">
        <v>41451</v>
      </c>
      <c r="O542" s="20">
        <v>41451</v>
      </c>
    </row>
    <row r="543" spans="1:15" ht="14.25">
      <c r="A543" s="17">
        <v>2013</v>
      </c>
      <c r="B543" s="18" t="s">
        <v>453</v>
      </c>
      <c r="C543" s="18" t="s">
        <v>454</v>
      </c>
      <c r="D543" s="19">
        <v>223000</v>
      </c>
      <c r="E543" s="19">
        <v>0</v>
      </c>
      <c r="F543" s="19"/>
      <c r="G543" s="19">
        <v>510</v>
      </c>
      <c r="H543" s="19">
        <v>9.7</v>
      </c>
      <c r="I543" s="19"/>
      <c r="J543" s="19" t="s">
        <v>473</v>
      </c>
      <c r="K543" s="19" t="b">
        <v>1</v>
      </c>
      <c r="L543" s="15">
        <v>2024</v>
      </c>
      <c r="M543" s="16">
        <v>0.0341</v>
      </c>
      <c r="N543" s="20">
        <v>41451</v>
      </c>
      <c r="O543" s="20">
        <v>41451</v>
      </c>
    </row>
    <row r="544" spans="1:15" ht="14.25">
      <c r="A544" s="17">
        <v>2013</v>
      </c>
      <c r="B544" s="18" t="s">
        <v>453</v>
      </c>
      <c r="C544" s="18" t="s">
        <v>454</v>
      </c>
      <c r="D544" s="19">
        <v>223000</v>
      </c>
      <c r="E544" s="19">
        <v>0</v>
      </c>
      <c r="F544" s="19"/>
      <c r="G544" s="19">
        <v>460</v>
      </c>
      <c r="H544" s="19">
        <v>9.2</v>
      </c>
      <c r="I544" s="19" t="s">
        <v>461</v>
      </c>
      <c r="J544" s="19" t="s">
        <v>96</v>
      </c>
      <c r="K544" s="19" t="b">
        <v>0</v>
      </c>
      <c r="L544" s="15">
        <v>2025</v>
      </c>
      <c r="M544" s="16">
        <v>0.0062</v>
      </c>
      <c r="N544" s="20">
        <v>41451</v>
      </c>
      <c r="O544" s="20">
        <v>41451</v>
      </c>
    </row>
    <row r="545" spans="1:15" ht="14.25">
      <c r="A545" s="17">
        <v>2013</v>
      </c>
      <c r="B545" s="18" t="s">
        <v>453</v>
      </c>
      <c r="C545" s="18" t="s">
        <v>454</v>
      </c>
      <c r="D545" s="19">
        <v>223000</v>
      </c>
      <c r="E545" s="19">
        <v>0</v>
      </c>
      <c r="F545" s="19"/>
      <c r="G545" s="19">
        <v>170</v>
      </c>
      <c r="H545" s="19" t="s">
        <v>65</v>
      </c>
      <c r="I545" s="19"/>
      <c r="J545" s="19" t="s">
        <v>66</v>
      </c>
      <c r="K545" s="19" t="b">
        <v>1</v>
      </c>
      <c r="L545" s="15">
        <v>2014</v>
      </c>
      <c r="M545" s="16">
        <v>1534512</v>
      </c>
      <c r="N545" s="20">
        <v>41451</v>
      </c>
      <c r="O545" s="20">
        <v>41451</v>
      </c>
    </row>
    <row r="546" spans="1:15" ht="14.25">
      <c r="A546" s="17">
        <v>2013</v>
      </c>
      <c r="B546" s="18" t="s">
        <v>453</v>
      </c>
      <c r="C546" s="18" t="s">
        <v>454</v>
      </c>
      <c r="D546" s="19">
        <v>223000</v>
      </c>
      <c r="E546" s="19">
        <v>0</v>
      </c>
      <c r="F546" s="19"/>
      <c r="G546" s="19">
        <v>190</v>
      </c>
      <c r="H546" s="19">
        <v>2.2</v>
      </c>
      <c r="I546" s="19"/>
      <c r="J546" s="19" t="s">
        <v>69</v>
      </c>
      <c r="K546" s="19" t="b">
        <v>0</v>
      </c>
      <c r="L546" s="15">
        <v>2018</v>
      </c>
      <c r="M546" s="16">
        <v>1160000</v>
      </c>
      <c r="N546" s="20">
        <v>41451</v>
      </c>
      <c r="O546" s="20">
        <v>41451</v>
      </c>
    </row>
    <row r="547" spans="1:15" ht="14.25">
      <c r="A547" s="17">
        <v>2013</v>
      </c>
      <c r="B547" s="18" t="s">
        <v>453</v>
      </c>
      <c r="C547" s="18" t="s">
        <v>454</v>
      </c>
      <c r="D547" s="19">
        <v>223000</v>
      </c>
      <c r="E547" s="19">
        <v>0</v>
      </c>
      <c r="F547" s="19"/>
      <c r="G547" s="19">
        <v>480</v>
      </c>
      <c r="H547" s="19">
        <v>9.4</v>
      </c>
      <c r="I547" s="19" t="s">
        <v>461</v>
      </c>
      <c r="J547" s="19" t="s">
        <v>97</v>
      </c>
      <c r="K547" s="19" t="b">
        <v>0</v>
      </c>
      <c r="L547" s="15">
        <v>2022</v>
      </c>
      <c r="M547" s="16">
        <v>0.0293</v>
      </c>
      <c r="N547" s="20">
        <v>41451</v>
      </c>
      <c r="O547" s="20">
        <v>41451</v>
      </c>
    </row>
    <row r="548" spans="1:15" ht="14.25">
      <c r="A548" s="17">
        <v>2013</v>
      </c>
      <c r="B548" s="18" t="s">
        <v>453</v>
      </c>
      <c r="C548" s="18" t="s">
        <v>454</v>
      </c>
      <c r="D548" s="19">
        <v>223000</v>
      </c>
      <c r="E548" s="19">
        <v>0</v>
      </c>
      <c r="F548" s="19"/>
      <c r="G548" s="19">
        <v>450</v>
      </c>
      <c r="H548" s="19">
        <v>9.1</v>
      </c>
      <c r="I548" s="19" t="s">
        <v>459</v>
      </c>
      <c r="J548" s="19" t="s">
        <v>95</v>
      </c>
      <c r="K548" s="19" t="b">
        <v>1</v>
      </c>
      <c r="L548" s="15">
        <v>2018</v>
      </c>
      <c r="M548" s="16">
        <v>0.0414</v>
      </c>
      <c r="N548" s="20">
        <v>41451</v>
      </c>
      <c r="O548" s="20">
        <v>41451</v>
      </c>
    </row>
    <row r="549" spans="1:15" ht="14.25">
      <c r="A549" s="17">
        <v>2013</v>
      </c>
      <c r="B549" s="18" t="s">
        <v>453</v>
      </c>
      <c r="C549" s="18" t="s">
        <v>454</v>
      </c>
      <c r="D549" s="19">
        <v>223000</v>
      </c>
      <c r="E549" s="19">
        <v>0</v>
      </c>
      <c r="F549" s="19"/>
      <c r="G549" s="19">
        <v>310</v>
      </c>
      <c r="H549" s="19">
        <v>5.1</v>
      </c>
      <c r="I549" s="19"/>
      <c r="J549" s="19" t="s">
        <v>81</v>
      </c>
      <c r="K549" s="19" t="b">
        <v>1</v>
      </c>
      <c r="L549" s="15">
        <v>2018</v>
      </c>
      <c r="M549" s="16">
        <v>2501733</v>
      </c>
      <c r="N549" s="20">
        <v>41451</v>
      </c>
      <c r="O549" s="20">
        <v>41451</v>
      </c>
    </row>
    <row r="550" spans="1:15" ht="14.25">
      <c r="A550" s="17">
        <v>2013</v>
      </c>
      <c r="B550" s="18" t="s">
        <v>453</v>
      </c>
      <c r="C550" s="18" t="s">
        <v>454</v>
      </c>
      <c r="D550" s="19">
        <v>223000</v>
      </c>
      <c r="E550" s="19">
        <v>0</v>
      </c>
      <c r="F550" s="19"/>
      <c r="G550" s="19">
        <v>40</v>
      </c>
      <c r="H550" s="19" t="s">
        <v>43</v>
      </c>
      <c r="I550" s="19"/>
      <c r="J550" s="19" t="s">
        <v>44</v>
      </c>
      <c r="K550" s="19" t="b">
        <v>1</v>
      </c>
      <c r="L550" s="15">
        <v>2014</v>
      </c>
      <c r="M550" s="16">
        <v>2450000</v>
      </c>
      <c r="N550" s="20">
        <v>41451</v>
      </c>
      <c r="O550" s="20">
        <v>41451</v>
      </c>
    </row>
    <row r="551" spans="1:15" ht="14.25">
      <c r="A551" s="17">
        <v>2013</v>
      </c>
      <c r="B551" s="18" t="s">
        <v>453</v>
      </c>
      <c r="C551" s="18" t="s">
        <v>454</v>
      </c>
      <c r="D551" s="19">
        <v>223000</v>
      </c>
      <c r="E551" s="19">
        <v>0</v>
      </c>
      <c r="F551" s="19"/>
      <c r="G551" s="19">
        <v>80</v>
      </c>
      <c r="H551" s="19" t="s">
        <v>51</v>
      </c>
      <c r="I551" s="19"/>
      <c r="J551" s="19" t="s">
        <v>52</v>
      </c>
      <c r="K551" s="19" t="b">
        <v>1</v>
      </c>
      <c r="L551" s="15">
        <v>2022</v>
      </c>
      <c r="M551" s="16">
        <v>15500000</v>
      </c>
      <c r="N551" s="20">
        <v>41451</v>
      </c>
      <c r="O551" s="20">
        <v>41451</v>
      </c>
    </row>
    <row r="552" spans="1:15" ht="14.25">
      <c r="A552" s="17">
        <v>2013</v>
      </c>
      <c r="B552" s="18" t="s">
        <v>453</v>
      </c>
      <c r="C552" s="18" t="s">
        <v>454</v>
      </c>
      <c r="D552" s="19">
        <v>223000</v>
      </c>
      <c r="E552" s="19">
        <v>0</v>
      </c>
      <c r="F552" s="19"/>
      <c r="G552" s="19">
        <v>520</v>
      </c>
      <c r="H552" s="19" t="s">
        <v>103</v>
      </c>
      <c r="I552" s="19"/>
      <c r="J552" s="19" t="s">
        <v>470</v>
      </c>
      <c r="K552" s="19" t="b">
        <v>1</v>
      </c>
      <c r="L552" s="15">
        <v>2014</v>
      </c>
      <c r="M552" s="16">
        <v>0.1204</v>
      </c>
      <c r="N552" s="20">
        <v>41451</v>
      </c>
      <c r="O552" s="20">
        <v>41451</v>
      </c>
    </row>
    <row r="553" spans="1:15" ht="14.25">
      <c r="A553" s="17">
        <v>2013</v>
      </c>
      <c r="B553" s="18" t="s">
        <v>453</v>
      </c>
      <c r="C553" s="18" t="s">
        <v>454</v>
      </c>
      <c r="D553" s="19">
        <v>223000</v>
      </c>
      <c r="E553" s="19">
        <v>0</v>
      </c>
      <c r="F553" s="19"/>
      <c r="G553" s="19">
        <v>180</v>
      </c>
      <c r="H553" s="19" t="s">
        <v>67</v>
      </c>
      <c r="I553" s="19"/>
      <c r="J553" s="19" t="s">
        <v>68</v>
      </c>
      <c r="K553" s="19" t="b">
        <v>0</v>
      </c>
      <c r="L553" s="15">
        <v>2013</v>
      </c>
      <c r="M553" s="16">
        <v>1897000</v>
      </c>
      <c r="N553" s="20">
        <v>41451</v>
      </c>
      <c r="O553" s="20">
        <v>41451</v>
      </c>
    </row>
    <row r="554" spans="1:15" ht="14.25">
      <c r="A554" s="17">
        <v>2013</v>
      </c>
      <c r="B554" s="18" t="s">
        <v>453</v>
      </c>
      <c r="C554" s="18" t="s">
        <v>454</v>
      </c>
      <c r="D554" s="19">
        <v>223000</v>
      </c>
      <c r="E554" s="19">
        <v>0</v>
      </c>
      <c r="F554" s="19"/>
      <c r="G554" s="19">
        <v>170</v>
      </c>
      <c r="H554" s="19" t="s">
        <v>65</v>
      </c>
      <c r="I554" s="19"/>
      <c r="J554" s="19" t="s">
        <v>66</v>
      </c>
      <c r="K554" s="19" t="b">
        <v>1</v>
      </c>
      <c r="L554" s="15">
        <v>2013</v>
      </c>
      <c r="M554" s="16">
        <v>1897000</v>
      </c>
      <c r="N554" s="20">
        <v>41451</v>
      </c>
      <c r="O554" s="20">
        <v>41451</v>
      </c>
    </row>
    <row r="555" spans="1:15" ht="14.25">
      <c r="A555" s="17">
        <v>2013</v>
      </c>
      <c r="B555" s="18" t="s">
        <v>453</v>
      </c>
      <c r="C555" s="18" t="s">
        <v>454</v>
      </c>
      <c r="D555" s="19">
        <v>223000</v>
      </c>
      <c r="E555" s="19">
        <v>0</v>
      </c>
      <c r="F555" s="19"/>
      <c r="G555" s="19">
        <v>460</v>
      </c>
      <c r="H555" s="19">
        <v>9.2</v>
      </c>
      <c r="I555" s="19" t="s">
        <v>461</v>
      </c>
      <c r="J555" s="19" t="s">
        <v>96</v>
      </c>
      <c r="K555" s="19" t="b">
        <v>0</v>
      </c>
      <c r="L555" s="15">
        <v>2023</v>
      </c>
      <c r="M555" s="16">
        <v>0.0276</v>
      </c>
      <c r="N555" s="20">
        <v>41451</v>
      </c>
      <c r="O555" s="20">
        <v>41451</v>
      </c>
    </row>
    <row r="556" spans="1:15" ht="14.25">
      <c r="A556" s="17">
        <v>2013</v>
      </c>
      <c r="B556" s="18" t="s">
        <v>453</v>
      </c>
      <c r="C556" s="18" t="s">
        <v>454</v>
      </c>
      <c r="D556" s="19">
        <v>223000</v>
      </c>
      <c r="E556" s="19">
        <v>0</v>
      </c>
      <c r="F556" s="19"/>
      <c r="G556" s="19">
        <v>310</v>
      </c>
      <c r="H556" s="19">
        <v>5.1</v>
      </c>
      <c r="I556" s="19"/>
      <c r="J556" s="19" t="s">
        <v>81</v>
      </c>
      <c r="K556" s="19" t="b">
        <v>1</v>
      </c>
      <c r="L556" s="15">
        <v>2023</v>
      </c>
      <c r="M556" s="16">
        <v>2154468</v>
      </c>
      <c r="N556" s="20">
        <v>41451</v>
      </c>
      <c r="O556" s="20">
        <v>41451</v>
      </c>
    </row>
    <row r="557" spans="1:15" ht="14.25">
      <c r="A557" s="17">
        <v>2013</v>
      </c>
      <c r="B557" s="18" t="s">
        <v>453</v>
      </c>
      <c r="C557" s="18" t="s">
        <v>454</v>
      </c>
      <c r="D557" s="19">
        <v>223000</v>
      </c>
      <c r="E557" s="19">
        <v>0</v>
      </c>
      <c r="F557" s="19"/>
      <c r="G557" s="19">
        <v>880</v>
      </c>
      <c r="H557" s="19">
        <v>14.1</v>
      </c>
      <c r="I557" s="19"/>
      <c r="J557" s="19" t="s">
        <v>151</v>
      </c>
      <c r="K557" s="19" t="b">
        <v>1</v>
      </c>
      <c r="L557" s="15">
        <v>2014</v>
      </c>
      <c r="M557" s="16">
        <v>4319922</v>
      </c>
      <c r="N557" s="20">
        <v>41451</v>
      </c>
      <c r="O557" s="20">
        <v>41451</v>
      </c>
    </row>
    <row r="558" spans="1:15" ht="14.25">
      <c r="A558" s="17">
        <v>2013</v>
      </c>
      <c r="B558" s="18" t="s">
        <v>453</v>
      </c>
      <c r="C558" s="18" t="s">
        <v>454</v>
      </c>
      <c r="D558" s="19">
        <v>223000</v>
      </c>
      <c r="E558" s="19">
        <v>0</v>
      </c>
      <c r="F558" s="19"/>
      <c r="G558" s="19">
        <v>380</v>
      </c>
      <c r="H558" s="19">
        <v>6.2</v>
      </c>
      <c r="I558" s="19" t="s">
        <v>466</v>
      </c>
      <c r="J558" s="19" t="s">
        <v>90</v>
      </c>
      <c r="K558" s="19" t="b">
        <v>0</v>
      </c>
      <c r="L558" s="15">
        <v>2014</v>
      </c>
      <c r="M558" s="16">
        <v>0.3859</v>
      </c>
      <c r="N558" s="20">
        <v>41451</v>
      </c>
      <c r="O558" s="20">
        <v>41451</v>
      </c>
    </row>
    <row r="559" spans="1:15" ht="14.25">
      <c r="A559" s="17">
        <v>2013</v>
      </c>
      <c r="B559" s="18" t="s">
        <v>453</v>
      </c>
      <c r="C559" s="18" t="s">
        <v>454</v>
      </c>
      <c r="D559" s="19">
        <v>223000</v>
      </c>
      <c r="E559" s="19">
        <v>0</v>
      </c>
      <c r="F559" s="19"/>
      <c r="G559" s="19">
        <v>510</v>
      </c>
      <c r="H559" s="19">
        <v>9.7</v>
      </c>
      <c r="I559" s="19"/>
      <c r="J559" s="19" t="s">
        <v>473</v>
      </c>
      <c r="K559" s="19" t="b">
        <v>1</v>
      </c>
      <c r="L559" s="15">
        <v>2018</v>
      </c>
      <c r="M559" s="16">
        <v>0.1082</v>
      </c>
      <c r="N559" s="20">
        <v>41451</v>
      </c>
      <c r="O559" s="20">
        <v>41451</v>
      </c>
    </row>
    <row r="560" spans="1:15" ht="14.25">
      <c r="A560" s="17">
        <v>2013</v>
      </c>
      <c r="B560" s="18" t="s">
        <v>453</v>
      </c>
      <c r="C560" s="18" t="s">
        <v>454</v>
      </c>
      <c r="D560" s="19">
        <v>223000</v>
      </c>
      <c r="E560" s="19">
        <v>0</v>
      </c>
      <c r="F560" s="19"/>
      <c r="G560" s="19">
        <v>70</v>
      </c>
      <c r="H560" s="19" t="s">
        <v>49</v>
      </c>
      <c r="I560" s="19"/>
      <c r="J560" s="19" t="s">
        <v>50</v>
      </c>
      <c r="K560" s="19" t="b">
        <v>1</v>
      </c>
      <c r="L560" s="15">
        <v>2020</v>
      </c>
      <c r="M560" s="16">
        <v>25700000</v>
      </c>
      <c r="N560" s="20">
        <v>41451</v>
      </c>
      <c r="O560" s="20">
        <v>41451</v>
      </c>
    </row>
    <row r="561" spans="1:15" ht="14.25">
      <c r="A561" s="17">
        <v>2013</v>
      </c>
      <c r="B561" s="18" t="s">
        <v>453</v>
      </c>
      <c r="C561" s="18" t="s">
        <v>454</v>
      </c>
      <c r="D561" s="19">
        <v>223000</v>
      </c>
      <c r="E561" s="19">
        <v>0</v>
      </c>
      <c r="F561" s="19"/>
      <c r="G561" s="19">
        <v>80</v>
      </c>
      <c r="H561" s="19" t="s">
        <v>51</v>
      </c>
      <c r="I561" s="19"/>
      <c r="J561" s="19" t="s">
        <v>52</v>
      </c>
      <c r="K561" s="19" t="b">
        <v>1</v>
      </c>
      <c r="L561" s="15">
        <v>2026</v>
      </c>
      <c r="M561" s="16">
        <v>16300000</v>
      </c>
      <c r="N561" s="20">
        <v>41451</v>
      </c>
      <c r="O561" s="20">
        <v>41451</v>
      </c>
    </row>
    <row r="562" spans="1:15" ht="14.25">
      <c r="A562" s="17">
        <v>2013</v>
      </c>
      <c r="B562" s="18" t="s">
        <v>453</v>
      </c>
      <c r="C562" s="18" t="s">
        <v>454</v>
      </c>
      <c r="D562" s="19">
        <v>223000</v>
      </c>
      <c r="E562" s="19">
        <v>0</v>
      </c>
      <c r="F562" s="19"/>
      <c r="G562" s="19">
        <v>50</v>
      </c>
      <c r="H562" s="19" t="s">
        <v>45</v>
      </c>
      <c r="I562" s="19"/>
      <c r="J562" s="19" t="s">
        <v>46</v>
      </c>
      <c r="K562" s="19" t="b">
        <v>1</v>
      </c>
      <c r="L562" s="15">
        <v>2025</v>
      </c>
      <c r="M562" s="16">
        <v>7650000</v>
      </c>
      <c r="N562" s="20">
        <v>41451</v>
      </c>
      <c r="O562" s="20">
        <v>41451</v>
      </c>
    </row>
    <row r="563" spans="1:15" ht="14.25">
      <c r="A563" s="17">
        <v>2013</v>
      </c>
      <c r="B563" s="18" t="s">
        <v>453</v>
      </c>
      <c r="C563" s="18" t="s">
        <v>454</v>
      </c>
      <c r="D563" s="19">
        <v>223000</v>
      </c>
      <c r="E563" s="19">
        <v>0</v>
      </c>
      <c r="F563" s="19"/>
      <c r="G563" s="19">
        <v>350</v>
      </c>
      <c r="H563" s="19">
        <v>6</v>
      </c>
      <c r="I563" s="19"/>
      <c r="J563" s="19" t="s">
        <v>27</v>
      </c>
      <c r="K563" s="19" t="b">
        <v>1</v>
      </c>
      <c r="L563" s="15">
        <v>2024</v>
      </c>
      <c r="M563" s="16">
        <v>1000000</v>
      </c>
      <c r="N563" s="20">
        <v>41451</v>
      </c>
      <c r="O563" s="20">
        <v>41451</v>
      </c>
    </row>
    <row r="564" spans="1:15" ht="14.25">
      <c r="A564" s="17">
        <v>2013</v>
      </c>
      <c r="B564" s="18" t="s">
        <v>453</v>
      </c>
      <c r="C564" s="18" t="s">
        <v>454</v>
      </c>
      <c r="D564" s="19">
        <v>223000</v>
      </c>
      <c r="E564" s="19">
        <v>0</v>
      </c>
      <c r="F564" s="19"/>
      <c r="G564" s="19">
        <v>520</v>
      </c>
      <c r="H564" s="19" t="s">
        <v>103</v>
      </c>
      <c r="I564" s="19"/>
      <c r="J564" s="19" t="s">
        <v>470</v>
      </c>
      <c r="K564" s="19" t="b">
        <v>1</v>
      </c>
      <c r="L564" s="15">
        <v>2013</v>
      </c>
      <c r="M564" s="16">
        <v>0.0867</v>
      </c>
      <c r="N564" s="20">
        <v>41451</v>
      </c>
      <c r="O564" s="20">
        <v>41451</v>
      </c>
    </row>
    <row r="565" spans="1:15" ht="14.25">
      <c r="A565" s="17">
        <v>2013</v>
      </c>
      <c r="B565" s="18" t="s">
        <v>453</v>
      </c>
      <c r="C565" s="18" t="s">
        <v>454</v>
      </c>
      <c r="D565" s="19">
        <v>223000</v>
      </c>
      <c r="E565" s="19">
        <v>0</v>
      </c>
      <c r="F565" s="19"/>
      <c r="G565" s="19">
        <v>530</v>
      </c>
      <c r="H565" s="19">
        <v>9.8</v>
      </c>
      <c r="I565" s="19" t="s">
        <v>462</v>
      </c>
      <c r="J565" s="19" t="s">
        <v>105</v>
      </c>
      <c r="K565" s="19" t="b">
        <v>0</v>
      </c>
      <c r="L565" s="15">
        <v>2019</v>
      </c>
      <c r="M565" s="16">
        <v>266</v>
      </c>
      <c r="N565" s="20">
        <v>41451</v>
      </c>
      <c r="O565" s="20">
        <v>41451</v>
      </c>
    </row>
    <row r="566" spans="1:15" ht="14.25">
      <c r="A566" s="17">
        <v>2013</v>
      </c>
      <c r="B566" s="18" t="s">
        <v>453</v>
      </c>
      <c r="C566" s="18" t="s">
        <v>454</v>
      </c>
      <c r="D566" s="19">
        <v>223000</v>
      </c>
      <c r="E566" s="19">
        <v>0</v>
      </c>
      <c r="F566" s="19"/>
      <c r="G566" s="19">
        <v>505</v>
      </c>
      <c r="H566" s="19" t="s">
        <v>100</v>
      </c>
      <c r="I566" s="19" t="s">
        <v>464</v>
      </c>
      <c r="J566" s="19" t="s">
        <v>101</v>
      </c>
      <c r="K566" s="19" t="b">
        <v>0</v>
      </c>
      <c r="L566" s="15">
        <v>2021</v>
      </c>
      <c r="M566" s="16">
        <v>0.0371</v>
      </c>
      <c r="N566" s="20">
        <v>41451</v>
      </c>
      <c r="O566" s="20">
        <v>41451</v>
      </c>
    </row>
    <row r="567" spans="1:15" ht="14.25">
      <c r="A567" s="17">
        <v>2013</v>
      </c>
      <c r="B567" s="18" t="s">
        <v>453</v>
      </c>
      <c r="C567" s="18" t="s">
        <v>454</v>
      </c>
      <c r="D567" s="19">
        <v>223000</v>
      </c>
      <c r="E567" s="19">
        <v>0</v>
      </c>
      <c r="F567" s="19"/>
      <c r="G567" s="19">
        <v>610</v>
      </c>
      <c r="H567" s="19" t="s">
        <v>114</v>
      </c>
      <c r="I567" s="19"/>
      <c r="J567" s="19" t="s">
        <v>115</v>
      </c>
      <c r="K567" s="19" t="b">
        <v>1</v>
      </c>
      <c r="L567" s="15">
        <v>2013</v>
      </c>
      <c r="M567" s="16">
        <v>574365</v>
      </c>
      <c r="N567" s="20">
        <v>41451</v>
      </c>
      <c r="O567" s="20">
        <v>41451</v>
      </c>
    </row>
    <row r="568" spans="1:15" ht="14.25">
      <c r="A568" s="17">
        <v>2013</v>
      </c>
      <c r="B568" s="18" t="s">
        <v>453</v>
      </c>
      <c r="C568" s="18" t="s">
        <v>454</v>
      </c>
      <c r="D568" s="19">
        <v>223000</v>
      </c>
      <c r="E568" s="19">
        <v>0</v>
      </c>
      <c r="F568" s="19"/>
      <c r="G568" s="19">
        <v>380</v>
      </c>
      <c r="H568" s="19">
        <v>6.2</v>
      </c>
      <c r="I568" s="19" t="s">
        <v>466</v>
      </c>
      <c r="J568" s="19" t="s">
        <v>90</v>
      </c>
      <c r="K568" s="19" t="b">
        <v>0</v>
      </c>
      <c r="L568" s="15">
        <v>2023</v>
      </c>
      <c r="M568" s="16">
        <v>0.0364</v>
      </c>
      <c r="N568" s="20">
        <v>41451</v>
      </c>
      <c r="O568" s="20">
        <v>41451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6" width="16.898437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208</v>
      </c>
      <c r="N3" s="5" t="s">
        <v>209</v>
      </c>
      <c r="O3" s="5" t="s">
        <v>211</v>
      </c>
      <c r="P3" s="5" t="s">
        <v>210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453</v>
      </c>
      <c r="C4" s="18" t="s">
        <v>454</v>
      </c>
      <c r="D4" s="19">
        <v>223000</v>
      </c>
      <c r="E4" s="19">
        <v>0</v>
      </c>
      <c r="F4" s="19"/>
      <c r="G4" s="19">
        <v>20</v>
      </c>
      <c r="H4" s="19">
        <v>1.1</v>
      </c>
      <c r="I4" s="19"/>
      <c r="J4" s="19" t="s">
        <v>40</v>
      </c>
      <c r="K4" s="19" t="b">
        <v>1</v>
      </c>
      <c r="L4" s="15">
        <v>2013</v>
      </c>
      <c r="M4" s="16">
        <v>72404014</v>
      </c>
      <c r="N4" s="16">
        <v>74955571</v>
      </c>
      <c r="O4" s="16">
        <v>76198060</v>
      </c>
      <c r="P4" s="16">
        <v>77696488</v>
      </c>
      <c r="Q4" s="20">
        <v>41451</v>
      </c>
      <c r="R4" s="20">
        <v>41451</v>
      </c>
    </row>
    <row r="5" spans="1:18" ht="14.25">
      <c r="A5" s="17">
        <v>2013</v>
      </c>
      <c r="B5" s="18" t="s">
        <v>453</v>
      </c>
      <c r="C5" s="18" t="s">
        <v>454</v>
      </c>
      <c r="D5" s="19">
        <v>223000</v>
      </c>
      <c r="E5" s="19">
        <v>0</v>
      </c>
      <c r="F5" s="19"/>
      <c r="G5" s="19">
        <v>60</v>
      </c>
      <c r="H5" s="19" t="s">
        <v>47</v>
      </c>
      <c r="I5" s="19"/>
      <c r="J5" s="19" t="s">
        <v>48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41451</v>
      </c>
      <c r="R5" s="20">
        <v>41451</v>
      </c>
    </row>
    <row r="6" spans="1:18" ht="14.25">
      <c r="A6" s="17">
        <v>2013</v>
      </c>
      <c r="B6" s="18" t="s">
        <v>453</v>
      </c>
      <c r="C6" s="18" t="s">
        <v>454</v>
      </c>
      <c r="D6" s="19">
        <v>223000</v>
      </c>
      <c r="E6" s="19">
        <v>0</v>
      </c>
      <c r="F6" s="19"/>
      <c r="G6" s="19">
        <v>10</v>
      </c>
      <c r="H6" s="19">
        <v>1</v>
      </c>
      <c r="I6" s="19" t="s">
        <v>457</v>
      </c>
      <c r="J6" s="19" t="s">
        <v>26</v>
      </c>
      <c r="K6" s="19" t="b">
        <v>1</v>
      </c>
      <c r="L6" s="15">
        <v>2013</v>
      </c>
      <c r="M6" s="16">
        <v>82775258</v>
      </c>
      <c r="N6" s="16">
        <v>81499993</v>
      </c>
      <c r="O6" s="16">
        <v>90042950</v>
      </c>
      <c r="P6" s="16">
        <v>91273113</v>
      </c>
      <c r="Q6" s="20">
        <v>41451</v>
      </c>
      <c r="R6" s="20">
        <v>41451</v>
      </c>
    </row>
    <row r="7" spans="1:18" ht="14.25">
      <c r="A7" s="17">
        <v>2013</v>
      </c>
      <c r="B7" s="18" t="s">
        <v>453</v>
      </c>
      <c r="C7" s="18" t="s">
        <v>454</v>
      </c>
      <c r="D7" s="19">
        <v>223000</v>
      </c>
      <c r="E7" s="19">
        <v>0</v>
      </c>
      <c r="F7" s="19"/>
      <c r="G7" s="19">
        <v>70</v>
      </c>
      <c r="H7" s="19" t="s">
        <v>49</v>
      </c>
      <c r="I7" s="19"/>
      <c r="J7" s="19" t="s">
        <v>50</v>
      </c>
      <c r="K7" s="19" t="b">
        <v>1</v>
      </c>
      <c r="L7" s="15">
        <v>2013</v>
      </c>
      <c r="M7" s="16">
        <v>21442376</v>
      </c>
      <c r="N7" s="16">
        <v>23883927</v>
      </c>
      <c r="O7" s="16">
        <v>24778177</v>
      </c>
      <c r="P7" s="16">
        <v>24969766</v>
      </c>
      <c r="Q7" s="20">
        <v>41451</v>
      </c>
      <c r="R7" s="20">
        <v>41451</v>
      </c>
    </row>
    <row r="8" spans="1:18" ht="14.25">
      <c r="A8" s="17">
        <v>2013</v>
      </c>
      <c r="B8" s="18" t="s">
        <v>453</v>
      </c>
      <c r="C8" s="18" t="s">
        <v>454</v>
      </c>
      <c r="D8" s="19">
        <v>223000</v>
      </c>
      <c r="E8" s="19">
        <v>0</v>
      </c>
      <c r="F8" s="19"/>
      <c r="G8" s="19">
        <v>520</v>
      </c>
      <c r="H8" s="19" t="s">
        <v>103</v>
      </c>
      <c r="I8" s="19"/>
      <c r="J8" s="19" t="s">
        <v>470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41451</v>
      </c>
      <c r="R8" s="20">
        <v>41451</v>
      </c>
    </row>
    <row r="9" spans="1:18" ht="14.25">
      <c r="A9" s="17">
        <v>2013</v>
      </c>
      <c r="B9" s="18" t="s">
        <v>453</v>
      </c>
      <c r="C9" s="18" t="s">
        <v>454</v>
      </c>
      <c r="D9" s="19">
        <v>223000</v>
      </c>
      <c r="E9" s="19">
        <v>0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30435273</v>
      </c>
      <c r="N9" s="16">
        <v>30435274</v>
      </c>
      <c r="O9" s="16">
        <v>43215360</v>
      </c>
      <c r="P9" s="16">
        <v>43215362</v>
      </c>
      <c r="Q9" s="20">
        <v>41451</v>
      </c>
      <c r="R9" s="20">
        <v>41451</v>
      </c>
    </row>
    <row r="10" spans="1:18" ht="14.25">
      <c r="A10" s="17">
        <v>2013</v>
      </c>
      <c r="B10" s="18" t="s">
        <v>453</v>
      </c>
      <c r="C10" s="18" t="s">
        <v>454</v>
      </c>
      <c r="D10" s="19">
        <v>223000</v>
      </c>
      <c r="E10" s="19">
        <v>0</v>
      </c>
      <c r="F10" s="19"/>
      <c r="G10" s="19">
        <v>620</v>
      </c>
      <c r="H10" s="19" t="s">
        <v>116</v>
      </c>
      <c r="I10" s="19"/>
      <c r="J10" s="19" t="s">
        <v>117</v>
      </c>
      <c r="K10" s="19" t="b">
        <v>1</v>
      </c>
      <c r="L10" s="15">
        <v>2013</v>
      </c>
      <c r="M10" s="16">
        <v>0</v>
      </c>
      <c r="N10" s="16">
        <v>5068236</v>
      </c>
      <c r="O10" s="16">
        <v>21542500</v>
      </c>
      <c r="P10" s="16">
        <v>21089217</v>
      </c>
      <c r="Q10" s="20">
        <v>41451</v>
      </c>
      <c r="R10" s="20">
        <v>41451</v>
      </c>
    </row>
    <row r="11" spans="1:18" ht="14.25">
      <c r="A11" s="17">
        <v>2013</v>
      </c>
      <c r="B11" s="18" t="s">
        <v>453</v>
      </c>
      <c r="C11" s="18" t="s">
        <v>454</v>
      </c>
      <c r="D11" s="19">
        <v>223000</v>
      </c>
      <c r="E11" s="19">
        <v>0</v>
      </c>
      <c r="F11" s="19"/>
      <c r="G11" s="19">
        <v>860</v>
      </c>
      <c r="H11" s="19">
        <v>13.7</v>
      </c>
      <c r="I11" s="19"/>
      <c r="J11" s="19" t="s">
        <v>149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41451</v>
      </c>
      <c r="R11" s="20">
        <v>41451</v>
      </c>
    </row>
    <row r="12" spans="1:18" ht="14.25">
      <c r="A12" s="17">
        <v>2013</v>
      </c>
      <c r="B12" s="18" t="s">
        <v>453</v>
      </c>
      <c r="C12" s="18" t="s">
        <v>454</v>
      </c>
      <c r="D12" s="19">
        <v>223000</v>
      </c>
      <c r="E12" s="19">
        <v>0</v>
      </c>
      <c r="F12" s="19"/>
      <c r="G12" s="19">
        <v>770</v>
      </c>
      <c r="H12" s="19" t="s">
        <v>138</v>
      </c>
      <c r="I12" s="19"/>
      <c r="J12" s="19" t="s">
        <v>139</v>
      </c>
      <c r="K12" s="19" t="b">
        <v>1</v>
      </c>
      <c r="L12" s="15">
        <v>2013</v>
      </c>
      <c r="M12" s="16">
        <v>5772827</v>
      </c>
      <c r="N12" s="16">
        <v>3407752</v>
      </c>
      <c r="O12" s="16">
        <v>518899</v>
      </c>
      <c r="P12" s="16">
        <v>502864</v>
      </c>
      <c r="Q12" s="20">
        <v>41451</v>
      </c>
      <c r="R12" s="20">
        <v>41451</v>
      </c>
    </row>
    <row r="13" spans="1:18" ht="14.25">
      <c r="A13" s="17">
        <v>2013</v>
      </c>
      <c r="B13" s="18" t="s">
        <v>453</v>
      </c>
      <c r="C13" s="18" t="s">
        <v>454</v>
      </c>
      <c r="D13" s="19">
        <v>223000</v>
      </c>
      <c r="E13" s="19">
        <v>0</v>
      </c>
      <c r="F13" s="19"/>
      <c r="G13" s="19">
        <v>550</v>
      </c>
      <c r="H13" s="19">
        <v>10</v>
      </c>
      <c r="I13" s="19"/>
      <c r="J13" s="19" t="s">
        <v>108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41451</v>
      </c>
      <c r="R13" s="20">
        <v>41451</v>
      </c>
    </row>
    <row r="14" spans="1:18" ht="14.25">
      <c r="A14" s="17">
        <v>2013</v>
      </c>
      <c r="B14" s="18" t="s">
        <v>453</v>
      </c>
      <c r="C14" s="18" t="s">
        <v>454</v>
      </c>
      <c r="D14" s="19">
        <v>223000</v>
      </c>
      <c r="E14" s="19">
        <v>0</v>
      </c>
      <c r="F14" s="19"/>
      <c r="G14" s="19">
        <v>180</v>
      </c>
      <c r="H14" s="19" t="s">
        <v>67</v>
      </c>
      <c r="I14" s="19"/>
      <c r="J14" s="19" t="s">
        <v>68</v>
      </c>
      <c r="K14" s="19" t="b">
        <v>0</v>
      </c>
      <c r="L14" s="15">
        <v>2013</v>
      </c>
      <c r="M14" s="16">
        <v>1570087</v>
      </c>
      <c r="N14" s="16">
        <v>1603219</v>
      </c>
      <c r="O14" s="16">
        <v>1780000</v>
      </c>
      <c r="P14" s="16">
        <v>1746298</v>
      </c>
      <c r="Q14" s="20">
        <v>41451</v>
      </c>
      <c r="R14" s="20">
        <v>41451</v>
      </c>
    </row>
    <row r="15" spans="1:18" ht="14.25">
      <c r="A15" s="17">
        <v>2013</v>
      </c>
      <c r="B15" s="18" t="s">
        <v>453</v>
      </c>
      <c r="C15" s="18" t="s">
        <v>454</v>
      </c>
      <c r="D15" s="19">
        <v>223000</v>
      </c>
      <c r="E15" s="19">
        <v>0</v>
      </c>
      <c r="F15" s="19"/>
      <c r="G15" s="19">
        <v>730</v>
      </c>
      <c r="H15" s="19">
        <v>12.3</v>
      </c>
      <c r="I15" s="19"/>
      <c r="J15" s="19" t="s">
        <v>132</v>
      </c>
      <c r="K15" s="19" t="b">
        <v>0</v>
      </c>
      <c r="L15" s="15">
        <v>2013</v>
      </c>
      <c r="M15" s="16">
        <v>309090</v>
      </c>
      <c r="N15" s="16">
        <v>184280</v>
      </c>
      <c r="O15" s="16">
        <v>741005</v>
      </c>
      <c r="P15" s="16">
        <v>606846</v>
      </c>
      <c r="Q15" s="20">
        <v>41451</v>
      </c>
      <c r="R15" s="20">
        <v>41451</v>
      </c>
    </row>
    <row r="16" spans="1:18" ht="14.25">
      <c r="A16" s="17">
        <v>2013</v>
      </c>
      <c r="B16" s="18" t="s">
        <v>453</v>
      </c>
      <c r="C16" s="18" t="s">
        <v>454</v>
      </c>
      <c r="D16" s="19">
        <v>223000</v>
      </c>
      <c r="E16" s="19">
        <v>0</v>
      </c>
      <c r="F16" s="19"/>
      <c r="G16" s="19">
        <v>260</v>
      </c>
      <c r="H16" s="19">
        <v>4.3</v>
      </c>
      <c r="I16" s="19"/>
      <c r="J16" s="19" t="s">
        <v>76</v>
      </c>
      <c r="K16" s="19" t="b">
        <v>1</v>
      </c>
      <c r="L16" s="15">
        <v>2013</v>
      </c>
      <c r="M16" s="16">
        <v>0</v>
      </c>
      <c r="N16" s="16">
        <v>3472648</v>
      </c>
      <c r="O16" s="16">
        <v>7000000</v>
      </c>
      <c r="P16" s="16">
        <v>7000000</v>
      </c>
      <c r="Q16" s="20">
        <v>41451</v>
      </c>
      <c r="R16" s="20">
        <v>41451</v>
      </c>
    </row>
    <row r="17" spans="1:18" ht="14.25">
      <c r="A17" s="17">
        <v>2013</v>
      </c>
      <c r="B17" s="18" t="s">
        <v>453</v>
      </c>
      <c r="C17" s="18" t="s">
        <v>454</v>
      </c>
      <c r="D17" s="19">
        <v>223000</v>
      </c>
      <c r="E17" s="19">
        <v>0</v>
      </c>
      <c r="F17" s="19"/>
      <c r="G17" s="19">
        <v>490</v>
      </c>
      <c r="H17" s="19">
        <v>9.5</v>
      </c>
      <c r="I17" s="19"/>
      <c r="J17" s="19" t="s">
        <v>98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41451</v>
      </c>
      <c r="R17" s="20">
        <v>41451</v>
      </c>
    </row>
    <row r="18" spans="1:18" ht="14.25">
      <c r="A18" s="17">
        <v>2013</v>
      </c>
      <c r="B18" s="18" t="s">
        <v>453</v>
      </c>
      <c r="C18" s="18" t="s">
        <v>454</v>
      </c>
      <c r="D18" s="19">
        <v>223000</v>
      </c>
      <c r="E18" s="19">
        <v>0</v>
      </c>
      <c r="F18" s="19"/>
      <c r="G18" s="19">
        <v>390</v>
      </c>
      <c r="H18" s="19">
        <v>6.3</v>
      </c>
      <c r="I18" s="19" t="s">
        <v>472</v>
      </c>
      <c r="J18" s="19" t="s">
        <v>91</v>
      </c>
      <c r="K18" s="19" t="b">
        <v>0</v>
      </c>
      <c r="L18" s="15">
        <v>2013</v>
      </c>
      <c r="M18" s="16">
        <v>0.3677</v>
      </c>
      <c r="N18" s="16">
        <v>0.3734</v>
      </c>
      <c r="O18" s="16">
        <v>0.4799</v>
      </c>
      <c r="P18" s="16">
        <v>0.4735</v>
      </c>
      <c r="Q18" s="20">
        <v>41451</v>
      </c>
      <c r="R18" s="20">
        <v>41451</v>
      </c>
    </row>
    <row r="19" spans="1:18" ht="14.25">
      <c r="A19" s="17">
        <v>2013</v>
      </c>
      <c r="B19" s="18" t="s">
        <v>453</v>
      </c>
      <c r="C19" s="18" t="s">
        <v>454</v>
      </c>
      <c r="D19" s="19">
        <v>223000</v>
      </c>
      <c r="E19" s="19">
        <v>0</v>
      </c>
      <c r="F19" s="19"/>
      <c r="G19" s="19">
        <v>460</v>
      </c>
      <c r="H19" s="19">
        <v>9.2</v>
      </c>
      <c r="I19" s="19" t="s">
        <v>461</v>
      </c>
      <c r="J19" s="19" t="s">
        <v>96</v>
      </c>
      <c r="K19" s="19" t="b">
        <v>0</v>
      </c>
      <c r="L19" s="15">
        <v>2013</v>
      </c>
      <c r="M19" s="16">
        <v>0.0609</v>
      </c>
      <c r="N19" s="16">
        <v>0.0623</v>
      </c>
      <c r="O19" s="16">
        <v>0.0622</v>
      </c>
      <c r="P19" s="16">
        <v>0.061</v>
      </c>
      <c r="Q19" s="20">
        <v>41451</v>
      </c>
      <c r="R19" s="20">
        <v>41451</v>
      </c>
    </row>
    <row r="20" spans="1:18" ht="14.25">
      <c r="A20" s="17">
        <v>2013</v>
      </c>
      <c r="B20" s="18" t="s">
        <v>453</v>
      </c>
      <c r="C20" s="18" t="s">
        <v>454</v>
      </c>
      <c r="D20" s="19">
        <v>223000</v>
      </c>
      <c r="E20" s="19">
        <v>0</v>
      </c>
      <c r="F20" s="19"/>
      <c r="G20" s="19">
        <v>630</v>
      </c>
      <c r="H20" s="19">
        <v>11.4</v>
      </c>
      <c r="I20" s="19"/>
      <c r="J20" s="19" t="s">
        <v>118</v>
      </c>
      <c r="K20" s="19" t="b">
        <v>1</v>
      </c>
      <c r="L20" s="15">
        <v>2013</v>
      </c>
      <c r="M20" s="16">
        <v>0</v>
      </c>
      <c r="N20" s="16">
        <v>5068236</v>
      </c>
      <c r="O20" s="16">
        <v>21542500</v>
      </c>
      <c r="P20" s="16">
        <v>21089217</v>
      </c>
      <c r="Q20" s="20">
        <v>41451</v>
      </c>
      <c r="R20" s="20">
        <v>41451</v>
      </c>
    </row>
    <row r="21" spans="1:18" ht="14.25">
      <c r="A21" s="17">
        <v>2013</v>
      </c>
      <c r="B21" s="18" t="s">
        <v>453</v>
      </c>
      <c r="C21" s="18" t="s">
        <v>454</v>
      </c>
      <c r="D21" s="19">
        <v>223000</v>
      </c>
      <c r="E21" s="19">
        <v>0</v>
      </c>
      <c r="F21" s="19"/>
      <c r="G21" s="19">
        <v>890</v>
      </c>
      <c r="H21" s="19">
        <v>14.2</v>
      </c>
      <c r="I21" s="19"/>
      <c r="J21" s="19" t="s">
        <v>152</v>
      </c>
      <c r="K21" s="19" t="b">
        <v>1</v>
      </c>
      <c r="L21" s="15">
        <v>2013</v>
      </c>
      <c r="M21" s="16">
        <v>0</v>
      </c>
      <c r="N21" s="16">
        <v>0</v>
      </c>
      <c r="O21" s="16">
        <v>9600000</v>
      </c>
      <c r="P21" s="16">
        <v>9600000</v>
      </c>
      <c r="Q21" s="20">
        <v>41451</v>
      </c>
      <c r="R21" s="20">
        <v>41451</v>
      </c>
    </row>
    <row r="22" spans="1:18" ht="14.25">
      <c r="A22" s="17">
        <v>2013</v>
      </c>
      <c r="B22" s="18" t="s">
        <v>453</v>
      </c>
      <c r="C22" s="18" t="s">
        <v>454</v>
      </c>
      <c r="D22" s="19">
        <v>223000</v>
      </c>
      <c r="E22" s="19">
        <v>0</v>
      </c>
      <c r="F22" s="19"/>
      <c r="G22" s="19">
        <v>230</v>
      </c>
      <c r="H22" s="19" t="s">
        <v>71</v>
      </c>
      <c r="I22" s="19"/>
      <c r="J22" s="19" t="s">
        <v>72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41451</v>
      </c>
      <c r="R22" s="20">
        <v>41451</v>
      </c>
    </row>
    <row r="23" spans="1:18" ht="14.25">
      <c r="A23" s="17">
        <v>2013</v>
      </c>
      <c r="B23" s="18" t="s">
        <v>453</v>
      </c>
      <c r="C23" s="18" t="s">
        <v>454</v>
      </c>
      <c r="D23" s="19">
        <v>223000</v>
      </c>
      <c r="E23" s="19">
        <v>0</v>
      </c>
      <c r="F23" s="19"/>
      <c r="G23" s="19">
        <v>690</v>
      </c>
      <c r="H23" s="19" t="s">
        <v>125</v>
      </c>
      <c r="I23" s="19"/>
      <c r="J23" s="19" t="s">
        <v>126</v>
      </c>
      <c r="K23" s="19" t="b">
        <v>1</v>
      </c>
      <c r="L23" s="15">
        <v>2013</v>
      </c>
      <c r="M23" s="16">
        <v>279664</v>
      </c>
      <c r="N23" s="16">
        <v>135172</v>
      </c>
      <c r="O23" s="16">
        <v>630445</v>
      </c>
      <c r="P23" s="16">
        <v>585214</v>
      </c>
      <c r="Q23" s="20">
        <v>41451</v>
      </c>
      <c r="R23" s="20">
        <v>41451</v>
      </c>
    </row>
    <row r="24" spans="1:18" ht="14.25">
      <c r="A24" s="17">
        <v>2013</v>
      </c>
      <c r="B24" s="18" t="s">
        <v>453</v>
      </c>
      <c r="C24" s="18" t="s">
        <v>454</v>
      </c>
      <c r="D24" s="19">
        <v>223000</v>
      </c>
      <c r="E24" s="19">
        <v>0</v>
      </c>
      <c r="F24" s="19"/>
      <c r="G24" s="19">
        <v>830</v>
      </c>
      <c r="H24" s="19">
        <v>13.4</v>
      </c>
      <c r="I24" s="19"/>
      <c r="J24" s="19" t="s">
        <v>146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41451</v>
      </c>
      <c r="R24" s="20">
        <v>41451</v>
      </c>
    </row>
    <row r="25" spans="1:18" ht="14.25">
      <c r="A25" s="17">
        <v>2013</v>
      </c>
      <c r="B25" s="18" t="s">
        <v>453</v>
      </c>
      <c r="C25" s="18" t="s">
        <v>454</v>
      </c>
      <c r="D25" s="19">
        <v>223000</v>
      </c>
      <c r="E25" s="19">
        <v>0</v>
      </c>
      <c r="F25" s="19"/>
      <c r="G25" s="19">
        <v>30</v>
      </c>
      <c r="H25" s="19" t="s">
        <v>41</v>
      </c>
      <c r="I25" s="19"/>
      <c r="J25" s="19" t="s">
        <v>42</v>
      </c>
      <c r="K25" s="19" t="b">
        <v>1</v>
      </c>
      <c r="L25" s="15">
        <v>2013</v>
      </c>
      <c r="M25" s="16">
        <v>21370826</v>
      </c>
      <c r="N25" s="16">
        <v>23367142</v>
      </c>
      <c r="O25" s="16">
        <v>27292434</v>
      </c>
      <c r="P25" s="16">
        <v>26534995</v>
      </c>
      <c r="Q25" s="20">
        <v>41451</v>
      </c>
      <c r="R25" s="20">
        <v>41451</v>
      </c>
    </row>
    <row r="26" spans="1:18" ht="14.25">
      <c r="A26" s="17">
        <v>2013</v>
      </c>
      <c r="B26" s="18" t="s">
        <v>453</v>
      </c>
      <c r="C26" s="18" t="s">
        <v>454</v>
      </c>
      <c r="D26" s="19">
        <v>223000</v>
      </c>
      <c r="E26" s="19">
        <v>0</v>
      </c>
      <c r="F26" s="19"/>
      <c r="G26" s="19">
        <v>310</v>
      </c>
      <c r="H26" s="19">
        <v>5.1</v>
      </c>
      <c r="I26" s="19"/>
      <c r="J26" s="19" t="s">
        <v>81</v>
      </c>
      <c r="K26" s="19" t="b">
        <v>1</v>
      </c>
      <c r="L26" s="15">
        <v>2013</v>
      </c>
      <c r="M26" s="16">
        <v>3474681</v>
      </c>
      <c r="N26" s="16">
        <v>3472648</v>
      </c>
      <c r="O26" s="16">
        <v>3819913</v>
      </c>
      <c r="P26" s="16">
        <v>3819912</v>
      </c>
      <c r="Q26" s="20">
        <v>41451</v>
      </c>
      <c r="R26" s="20">
        <v>41451</v>
      </c>
    </row>
    <row r="27" spans="1:18" ht="14.25">
      <c r="A27" s="17">
        <v>2013</v>
      </c>
      <c r="B27" s="18" t="s">
        <v>453</v>
      </c>
      <c r="C27" s="18" t="s">
        <v>454</v>
      </c>
      <c r="D27" s="19">
        <v>223000</v>
      </c>
      <c r="E27" s="19">
        <v>0</v>
      </c>
      <c r="F27" s="19"/>
      <c r="G27" s="19">
        <v>240</v>
      </c>
      <c r="H27" s="19">
        <v>4.2</v>
      </c>
      <c r="I27" s="19"/>
      <c r="J27" s="19" t="s">
        <v>73</v>
      </c>
      <c r="K27" s="19" t="b">
        <v>0</v>
      </c>
      <c r="L27" s="15">
        <v>2013</v>
      </c>
      <c r="M27" s="16">
        <v>5097067</v>
      </c>
      <c r="N27" s="16">
        <v>8158820</v>
      </c>
      <c r="O27" s="16">
        <v>7940713</v>
      </c>
      <c r="P27" s="16">
        <v>8124543</v>
      </c>
      <c r="Q27" s="20">
        <v>41451</v>
      </c>
      <c r="R27" s="20">
        <v>41451</v>
      </c>
    </row>
    <row r="28" spans="1:18" ht="14.25">
      <c r="A28" s="17">
        <v>2013</v>
      </c>
      <c r="B28" s="18" t="s">
        <v>453</v>
      </c>
      <c r="C28" s="18" t="s">
        <v>454</v>
      </c>
      <c r="D28" s="19">
        <v>223000</v>
      </c>
      <c r="E28" s="19">
        <v>0</v>
      </c>
      <c r="F28" s="19"/>
      <c r="G28" s="19">
        <v>280</v>
      </c>
      <c r="H28" s="19">
        <v>4.4</v>
      </c>
      <c r="I28" s="19"/>
      <c r="J28" s="19" t="s">
        <v>78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41451</v>
      </c>
      <c r="R28" s="20">
        <v>41451</v>
      </c>
    </row>
    <row r="29" spans="1:18" ht="14.25">
      <c r="A29" s="17">
        <v>2013</v>
      </c>
      <c r="B29" s="18" t="s">
        <v>453</v>
      </c>
      <c r="C29" s="18" t="s">
        <v>454</v>
      </c>
      <c r="D29" s="19">
        <v>223000</v>
      </c>
      <c r="E29" s="19">
        <v>0</v>
      </c>
      <c r="F29" s="19"/>
      <c r="G29" s="19">
        <v>790</v>
      </c>
      <c r="H29" s="19">
        <v>13</v>
      </c>
      <c r="I29" s="19"/>
      <c r="J29" s="19" t="s">
        <v>142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41451</v>
      </c>
      <c r="R29" s="20">
        <v>41451</v>
      </c>
    </row>
    <row r="30" spans="1:18" ht="14.25">
      <c r="A30" s="17">
        <v>2013</v>
      </c>
      <c r="B30" s="18" t="s">
        <v>453</v>
      </c>
      <c r="C30" s="18" t="s">
        <v>454</v>
      </c>
      <c r="D30" s="19">
        <v>223000</v>
      </c>
      <c r="E30" s="19">
        <v>0</v>
      </c>
      <c r="F30" s="19"/>
      <c r="G30" s="19">
        <v>700</v>
      </c>
      <c r="H30" s="19">
        <v>12.2</v>
      </c>
      <c r="I30" s="19"/>
      <c r="J30" s="19" t="s">
        <v>127</v>
      </c>
      <c r="K30" s="19" t="b">
        <v>0</v>
      </c>
      <c r="L30" s="15">
        <v>2013</v>
      </c>
      <c r="M30" s="16">
        <v>9621388</v>
      </c>
      <c r="N30" s="16">
        <v>4142285</v>
      </c>
      <c r="O30" s="16">
        <v>681787</v>
      </c>
      <c r="P30" s="16">
        <v>756805</v>
      </c>
      <c r="Q30" s="20">
        <v>41451</v>
      </c>
      <c r="R30" s="20">
        <v>41451</v>
      </c>
    </row>
    <row r="31" spans="1:18" ht="14.25">
      <c r="A31" s="17">
        <v>2013</v>
      </c>
      <c r="B31" s="18" t="s">
        <v>453</v>
      </c>
      <c r="C31" s="18" t="s">
        <v>454</v>
      </c>
      <c r="D31" s="19">
        <v>223000</v>
      </c>
      <c r="E31" s="19">
        <v>0</v>
      </c>
      <c r="F31" s="19"/>
      <c r="G31" s="19">
        <v>270</v>
      </c>
      <c r="H31" s="19" t="s">
        <v>77</v>
      </c>
      <c r="I31" s="19"/>
      <c r="J31" s="19" t="s">
        <v>75</v>
      </c>
      <c r="K31" s="19" t="b">
        <v>1</v>
      </c>
      <c r="L31" s="15">
        <v>2013</v>
      </c>
      <c r="M31" s="16">
        <v>0</v>
      </c>
      <c r="N31" s="16">
        <v>0</v>
      </c>
      <c r="O31" s="16">
        <v>7000000</v>
      </c>
      <c r="P31" s="16">
        <v>3713303</v>
      </c>
      <c r="Q31" s="20">
        <v>41451</v>
      </c>
      <c r="R31" s="20">
        <v>41451</v>
      </c>
    </row>
    <row r="32" spans="1:18" ht="14.25">
      <c r="A32" s="17">
        <v>2013</v>
      </c>
      <c r="B32" s="18" t="s">
        <v>453</v>
      </c>
      <c r="C32" s="18" t="s">
        <v>454</v>
      </c>
      <c r="D32" s="19">
        <v>223000</v>
      </c>
      <c r="E32" s="19">
        <v>0</v>
      </c>
      <c r="F32" s="19"/>
      <c r="G32" s="19">
        <v>810</v>
      </c>
      <c r="H32" s="19">
        <v>13.2</v>
      </c>
      <c r="I32" s="19"/>
      <c r="J32" s="19" t="s">
        <v>144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41451</v>
      </c>
      <c r="R32" s="20">
        <v>41451</v>
      </c>
    </row>
    <row r="33" spans="1:18" ht="14.25">
      <c r="A33" s="17">
        <v>2013</v>
      </c>
      <c r="B33" s="18" t="s">
        <v>453</v>
      </c>
      <c r="C33" s="18" t="s">
        <v>454</v>
      </c>
      <c r="D33" s="19">
        <v>223000</v>
      </c>
      <c r="E33" s="19">
        <v>0</v>
      </c>
      <c r="F33" s="19"/>
      <c r="G33" s="19">
        <v>330</v>
      </c>
      <c r="H33" s="19" t="s">
        <v>84</v>
      </c>
      <c r="I33" s="19"/>
      <c r="J33" s="19" t="s">
        <v>85</v>
      </c>
      <c r="K33" s="19" t="b">
        <v>1</v>
      </c>
      <c r="L33" s="15">
        <v>2013</v>
      </c>
      <c r="M33" s="16">
        <v>0</v>
      </c>
      <c r="N33" s="16">
        <v>0</v>
      </c>
      <c r="O33" s="16">
        <v>0</v>
      </c>
      <c r="P33" s="16">
        <v>0</v>
      </c>
      <c r="Q33" s="20">
        <v>41451</v>
      </c>
      <c r="R33" s="20">
        <v>41451</v>
      </c>
    </row>
    <row r="34" spans="1:18" ht="14.25">
      <c r="A34" s="17">
        <v>2013</v>
      </c>
      <c r="B34" s="18" t="s">
        <v>453</v>
      </c>
      <c r="C34" s="18" t="s">
        <v>454</v>
      </c>
      <c r="D34" s="19">
        <v>223000</v>
      </c>
      <c r="E34" s="19">
        <v>0</v>
      </c>
      <c r="F34" s="19"/>
      <c r="G34" s="19">
        <v>640</v>
      </c>
      <c r="H34" s="19">
        <v>11.5</v>
      </c>
      <c r="I34" s="19"/>
      <c r="J34" s="19" t="s">
        <v>119</v>
      </c>
      <c r="K34" s="19" t="b">
        <v>1</v>
      </c>
      <c r="L34" s="15">
        <v>2013</v>
      </c>
      <c r="M34" s="16">
        <v>7169544</v>
      </c>
      <c r="N34" s="16">
        <v>1307491</v>
      </c>
      <c r="O34" s="16">
        <v>3085690</v>
      </c>
      <c r="P34" s="16">
        <v>2531394</v>
      </c>
      <c r="Q34" s="20">
        <v>41451</v>
      </c>
      <c r="R34" s="20">
        <v>41451</v>
      </c>
    </row>
    <row r="35" spans="1:18" ht="14.25">
      <c r="A35" s="17">
        <v>2013</v>
      </c>
      <c r="B35" s="18" t="s">
        <v>453</v>
      </c>
      <c r="C35" s="18" t="s">
        <v>454</v>
      </c>
      <c r="D35" s="19">
        <v>223000</v>
      </c>
      <c r="E35" s="19">
        <v>0</v>
      </c>
      <c r="F35" s="19"/>
      <c r="G35" s="19">
        <v>210</v>
      </c>
      <c r="H35" s="19">
        <v>4</v>
      </c>
      <c r="I35" s="19" t="s">
        <v>465</v>
      </c>
      <c r="J35" s="19" t="s">
        <v>24</v>
      </c>
      <c r="K35" s="19" t="b">
        <v>0</v>
      </c>
      <c r="L35" s="15">
        <v>2013</v>
      </c>
      <c r="M35" s="16">
        <v>5097067</v>
      </c>
      <c r="N35" s="16">
        <v>11631468</v>
      </c>
      <c r="O35" s="16">
        <v>14940713</v>
      </c>
      <c r="P35" s="16">
        <v>15124543</v>
      </c>
      <c r="Q35" s="20">
        <v>41451</v>
      </c>
      <c r="R35" s="20">
        <v>41451</v>
      </c>
    </row>
    <row r="36" spans="1:18" ht="14.25">
      <c r="A36" s="17">
        <v>2013</v>
      </c>
      <c r="B36" s="18" t="s">
        <v>453</v>
      </c>
      <c r="C36" s="18" t="s">
        <v>454</v>
      </c>
      <c r="D36" s="19">
        <v>223000</v>
      </c>
      <c r="E36" s="19">
        <v>0</v>
      </c>
      <c r="F36" s="19"/>
      <c r="G36" s="19">
        <v>200</v>
      </c>
      <c r="H36" s="19">
        <v>3</v>
      </c>
      <c r="I36" s="19" t="s">
        <v>455</v>
      </c>
      <c r="J36" s="19" t="s">
        <v>23</v>
      </c>
      <c r="K36" s="19" t="b">
        <v>0</v>
      </c>
      <c r="L36" s="15">
        <v>2013</v>
      </c>
      <c r="M36" s="16">
        <v>6536434</v>
      </c>
      <c r="N36" s="16">
        <v>-34277</v>
      </c>
      <c r="O36" s="16">
        <v>-11120800</v>
      </c>
      <c r="P36" s="16">
        <v>-3713303</v>
      </c>
      <c r="Q36" s="20">
        <v>41451</v>
      </c>
      <c r="R36" s="20">
        <v>41451</v>
      </c>
    </row>
    <row r="37" spans="1:18" ht="14.25">
      <c r="A37" s="17">
        <v>2013</v>
      </c>
      <c r="B37" s="18" t="s">
        <v>453</v>
      </c>
      <c r="C37" s="18" t="s">
        <v>454</v>
      </c>
      <c r="D37" s="19">
        <v>223000</v>
      </c>
      <c r="E37" s="19">
        <v>0</v>
      </c>
      <c r="F37" s="19"/>
      <c r="G37" s="19">
        <v>500</v>
      </c>
      <c r="H37" s="19">
        <v>9.6</v>
      </c>
      <c r="I37" s="19" t="s">
        <v>463</v>
      </c>
      <c r="J37" s="19" t="s">
        <v>99</v>
      </c>
      <c r="K37" s="19" t="b">
        <v>0</v>
      </c>
      <c r="L37" s="15">
        <v>2013</v>
      </c>
      <c r="M37" s="16">
        <v>0.0609</v>
      </c>
      <c r="N37" s="16">
        <v>0.0623</v>
      </c>
      <c r="O37" s="16">
        <v>0.0622</v>
      </c>
      <c r="P37" s="16">
        <v>0.061</v>
      </c>
      <c r="Q37" s="20">
        <v>41451</v>
      </c>
      <c r="R37" s="20">
        <v>41451</v>
      </c>
    </row>
    <row r="38" spans="1:18" ht="14.25">
      <c r="A38" s="17">
        <v>2013</v>
      </c>
      <c r="B38" s="18" t="s">
        <v>453</v>
      </c>
      <c r="C38" s="18" t="s">
        <v>454</v>
      </c>
      <c r="D38" s="19">
        <v>223000</v>
      </c>
      <c r="E38" s="19">
        <v>0</v>
      </c>
      <c r="F38" s="19"/>
      <c r="G38" s="19">
        <v>300</v>
      </c>
      <c r="H38" s="19">
        <v>5</v>
      </c>
      <c r="I38" s="19" t="s">
        <v>458</v>
      </c>
      <c r="J38" s="19" t="s">
        <v>80</v>
      </c>
      <c r="K38" s="19" t="b">
        <v>0</v>
      </c>
      <c r="L38" s="15">
        <v>2013</v>
      </c>
      <c r="M38" s="16">
        <v>3474681</v>
      </c>
      <c r="N38" s="16">
        <v>3472648</v>
      </c>
      <c r="O38" s="16">
        <v>3819913</v>
      </c>
      <c r="P38" s="16">
        <v>3819912</v>
      </c>
      <c r="Q38" s="20">
        <v>41451</v>
      </c>
      <c r="R38" s="20">
        <v>41451</v>
      </c>
    </row>
    <row r="39" spans="1:18" ht="14.25">
      <c r="A39" s="17">
        <v>2013</v>
      </c>
      <c r="B39" s="18" t="s">
        <v>453</v>
      </c>
      <c r="C39" s="18" t="s">
        <v>454</v>
      </c>
      <c r="D39" s="19">
        <v>223000</v>
      </c>
      <c r="E39" s="19">
        <v>0</v>
      </c>
      <c r="F39" s="19"/>
      <c r="G39" s="19">
        <v>920</v>
      </c>
      <c r="H39" s="19" t="s">
        <v>156</v>
      </c>
      <c r="I39" s="19"/>
      <c r="J39" s="19" t="s">
        <v>157</v>
      </c>
      <c r="K39" s="19" t="b">
        <v>1</v>
      </c>
      <c r="L39" s="15">
        <v>2013</v>
      </c>
      <c r="M39" s="16">
        <v>0</v>
      </c>
      <c r="N39" s="16">
        <v>0</v>
      </c>
      <c r="O39" s="16">
        <v>2400000</v>
      </c>
      <c r="P39" s="16">
        <v>2400000</v>
      </c>
      <c r="Q39" s="20">
        <v>41451</v>
      </c>
      <c r="R39" s="20">
        <v>41451</v>
      </c>
    </row>
    <row r="40" spans="1:18" ht="14.25">
      <c r="A40" s="17">
        <v>2013</v>
      </c>
      <c r="B40" s="18" t="s">
        <v>453</v>
      </c>
      <c r="C40" s="18" t="s">
        <v>454</v>
      </c>
      <c r="D40" s="19">
        <v>223000</v>
      </c>
      <c r="E40" s="19">
        <v>0</v>
      </c>
      <c r="F40" s="19"/>
      <c r="G40" s="19">
        <v>320</v>
      </c>
      <c r="H40" s="19" t="s">
        <v>82</v>
      </c>
      <c r="I40" s="19"/>
      <c r="J40" s="19" t="s">
        <v>474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0</v>
      </c>
      <c r="Q40" s="20">
        <v>41451</v>
      </c>
      <c r="R40" s="20">
        <v>41451</v>
      </c>
    </row>
    <row r="41" spans="1:18" ht="14.25">
      <c r="A41" s="17">
        <v>2013</v>
      </c>
      <c r="B41" s="18" t="s">
        <v>453</v>
      </c>
      <c r="C41" s="18" t="s">
        <v>454</v>
      </c>
      <c r="D41" s="19">
        <v>223000</v>
      </c>
      <c r="E41" s="19">
        <v>0</v>
      </c>
      <c r="F41" s="19"/>
      <c r="G41" s="19">
        <v>710</v>
      </c>
      <c r="H41" s="19" t="s">
        <v>128</v>
      </c>
      <c r="I41" s="19"/>
      <c r="J41" s="19" t="s">
        <v>129</v>
      </c>
      <c r="K41" s="19" t="b">
        <v>0</v>
      </c>
      <c r="L41" s="15">
        <v>2013</v>
      </c>
      <c r="M41" s="16">
        <v>9424210</v>
      </c>
      <c r="N41" s="16">
        <v>4096561</v>
      </c>
      <c r="O41" s="16">
        <v>681787</v>
      </c>
      <c r="P41" s="16">
        <v>756805</v>
      </c>
      <c r="Q41" s="20">
        <v>41451</v>
      </c>
      <c r="R41" s="20">
        <v>41451</v>
      </c>
    </row>
    <row r="42" spans="1:18" ht="14.25">
      <c r="A42" s="17">
        <v>2013</v>
      </c>
      <c r="B42" s="18" t="s">
        <v>453</v>
      </c>
      <c r="C42" s="18" t="s">
        <v>454</v>
      </c>
      <c r="D42" s="19">
        <v>223000</v>
      </c>
      <c r="E42" s="19">
        <v>0</v>
      </c>
      <c r="F42" s="19"/>
      <c r="G42" s="19">
        <v>900</v>
      </c>
      <c r="H42" s="19">
        <v>14.3</v>
      </c>
      <c r="I42" s="19"/>
      <c r="J42" s="19" t="s">
        <v>153</v>
      </c>
      <c r="K42" s="19" t="b">
        <v>1</v>
      </c>
      <c r="L42" s="15">
        <v>2013</v>
      </c>
      <c r="M42" s="16">
        <v>0</v>
      </c>
      <c r="N42" s="16">
        <v>0</v>
      </c>
      <c r="O42" s="16">
        <v>2400000</v>
      </c>
      <c r="P42" s="16">
        <v>2400000</v>
      </c>
      <c r="Q42" s="20">
        <v>41451</v>
      </c>
      <c r="R42" s="20">
        <v>41451</v>
      </c>
    </row>
    <row r="43" spans="1:18" ht="14.25">
      <c r="A43" s="17">
        <v>2013</v>
      </c>
      <c r="B43" s="18" t="s">
        <v>453</v>
      </c>
      <c r="C43" s="18" t="s">
        <v>454</v>
      </c>
      <c r="D43" s="19">
        <v>223000</v>
      </c>
      <c r="E43" s="19">
        <v>0</v>
      </c>
      <c r="F43" s="19"/>
      <c r="G43" s="19">
        <v>680</v>
      </c>
      <c r="H43" s="19" t="s">
        <v>123</v>
      </c>
      <c r="I43" s="19"/>
      <c r="J43" s="19" t="s">
        <v>124</v>
      </c>
      <c r="K43" s="19" t="b">
        <v>1</v>
      </c>
      <c r="L43" s="15">
        <v>2013</v>
      </c>
      <c r="M43" s="16">
        <v>279664</v>
      </c>
      <c r="N43" s="16">
        <v>135172</v>
      </c>
      <c r="O43" s="16">
        <v>630445</v>
      </c>
      <c r="P43" s="16">
        <v>585214</v>
      </c>
      <c r="Q43" s="20">
        <v>41451</v>
      </c>
      <c r="R43" s="20">
        <v>41451</v>
      </c>
    </row>
    <row r="44" spans="1:18" ht="14.25">
      <c r="A44" s="17">
        <v>2013</v>
      </c>
      <c r="B44" s="18" t="s">
        <v>453</v>
      </c>
      <c r="C44" s="18" t="s">
        <v>454</v>
      </c>
      <c r="D44" s="19">
        <v>223000</v>
      </c>
      <c r="E44" s="19">
        <v>0</v>
      </c>
      <c r="F44" s="19"/>
      <c r="G44" s="19">
        <v>720</v>
      </c>
      <c r="H44" s="19" t="s">
        <v>130</v>
      </c>
      <c r="I44" s="19"/>
      <c r="J44" s="19" t="s">
        <v>131</v>
      </c>
      <c r="K44" s="19" t="b">
        <v>0</v>
      </c>
      <c r="L44" s="15">
        <v>2013</v>
      </c>
      <c r="M44" s="16">
        <v>9424210</v>
      </c>
      <c r="N44" s="16">
        <v>4096561</v>
      </c>
      <c r="O44" s="16">
        <v>681787</v>
      </c>
      <c r="P44" s="16">
        <v>756805</v>
      </c>
      <c r="Q44" s="20">
        <v>41451</v>
      </c>
      <c r="R44" s="20">
        <v>41451</v>
      </c>
    </row>
    <row r="45" spans="1:18" ht="14.25">
      <c r="A45" s="17">
        <v>2013</v>
      </c>
      <c r="B45" s="18" t="s">
        <v>453</v>
      </c>
      <c r="C45" s="18" t="s">
        <v>454</v>
      </c>
      <c r="D45" s="19">
        <v>223000</v>
      </c>
      <c r="E45" s="19">
        <v>0</v>
      </c>
      <c r="F45" s="19"/>
      <c r="G45" s="19">
        <v>780</v>
      </c>
      <c r="H45" s="19" t="s">
        <v>140</v>
      </c>
      <c r="I45" s="19"/>
      <c r="J45" s="19" t="s">
        <v>141</v>
      </c>
      <c r="K45" s="19" t="b">
        <v>1</v>
      </c>
      <c r="L45" s="15">
        <v>2013</v>
      </c>
      <c r="M45" s="16">
        <v>5772827</v>
      </c>
      <c r="N45" s="16">
        <v>3175776</v>
      </c>
      <c r="O45" s="16">
        <v>518899</v>
      </c>
      <c r="P45" s="16">
        <v>502864</v>
      </c>
      <c r="Q45" s="20">
        <v>41451</v>
      </c>
      <c r="R45" s="20">
        <v>41451</v>
      </c>
    </row>
    <row r="46" spans="1:18" ht="14.25">
      <c r="A46" s="17">
        <v>2013</v>
      </c>
      <c r="B46" s="18" t="s">
        <v>453</v>
      </c>
      <c r="C46" s="18" t="s">
        <v>454</v>
      </c>
      <c r="D46" s="19">
        <v>223000</v>
      </c>
      <c r="E46" s="19">
        <v>0</v>
      </c>
      <c r="F46" s="19"/>
      <c r="G46" s="19">
        <v>800</v>
      </c>
      <c r="H46" s="19">
        <v>13.1</v>
      </c>
      <c r="I46" s="19"/>
      <c r="J46" s="19" t="s">
        <v>143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41451</v>
      </c>
      <c r="R46" s="20">
        <v>41451</v>
      </c>
    </row>
    <row r="47" spans="1:18" ht="14.25">
      <c r="A47" s="17">
        <v>2013</v>
      </c>
      <c r="B47" s="18" t="s">
        <v>453</v>
      </c>
      <c r="C47" s="18" t="s">
        <v>454</v>
      </c>
      <c r="D47" s="19">
        <v>223000</v>
      </c>
      <c r="E47" s="19">
        <v>0</v>
      </c>
      <c r="F47" s="19"/>
      <c r="G47" s="19">
        <v>580</v>
      </c>
      <c r="H47" s="19">
        <v>11.1</v>
      </c>
      <c r="I47" s="19"/>
      <c r="J47" s="19" t="s">
        <v>111</v>
      </c>
      <c r="K47" s="19" t="b">
        <v>0</v>
      </c>
      <c r="L47" s="15">
        <v>2013</v>
      </c>
      <c r="M47" s="16">
        <v>24634450</v>
      </c>
      <c r="N47" s="16">
        <v>26238965</v>
      </c>
      <c r="O47" s="16">
        <v>28695601</v>
      </c>
      <c r="P47" s="16">
        <v>28218578</v>
      </c>
      <c r="Q47" s="20">
        <v>41451</v>
      </c>
      <c r="R47" s="20">
        <v>41451</v>
      </c>
    </row>
    <row r="48" spans="1:18" ht="14.25">
      <c r="A48" s="17">
        <v>2013</v>
      </c>
      <c r="B48" s="18" t="s">
        <v>453</v>
      </c>
      <c r="C48" s="18" t="s">
        <v>454</v>
      </c>
      <c r="D48" s="19">
        <v>223000</v>
      </c>
      <c r="E48" s="19">
        <v>0</v>
      </c>
      <c r="F48" s="19"/>
      <c r="G48" s="19">
        <v>570</v>
      </c>
      <c r="H48" s="19">
        <v>11</v>
      </c>
      <c r="I48" s="19"/>
      <c r="J48" s="19" t="s">
        <v>110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41451</v>
      </c>
      <c r="R48" s="20">
        <v>41451</v>
      </c>
    </row>
    <row r="49" spans="1:18" ht="14.25">
      <c r="A49" s="17">
        <v>2013</v>
      </c>
      <c r="B49" s="18" t="s">
        <v>453</v>
      </c>
      <c r="C49" s="18" t="s">
        <v>454</v>
      </c>
      <c r="D49" s="19">
        <v>223000</v>
      </c>
      <c r="E49" s="19">
        <v>0</v>
      </c>
      <c r="F49" s="19"/>
      <c r="G49" s="19">
        <v>160</v>
      </c>
      <c r="H49" s="19" t="s">
        <v>63</v>
      </c>
      <c r="I49" s="19"/>
      <c r="J49" s="19" t="s">
        <v>64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41451</v>
      </c>
      <c r="R49" s="20">
        <v>41451</v>
      </c>
    </row>
    <row r="50" spans="1:18" ht="14.25">
      <c r="A50" s="17">
        <v>2013</v>
      </c>
      <c r="B50" s="18" t="s">
        <v>453</v>
      </c>
      <c r="C50" s="18" t="s">
        <v>454</v>
      </c>
      <c r="D50" s="19">
        <v>223000</v>
      </c>
      <c r="E50" s="19">
        <v>0</v>
      </c>
      <c r="F50" s="19"/>
      <c r="G50" s="19">
        <v>530</v>
      </c>
      <c r="H50" s="19">
        <v>9.8</v>
      </c>
      <c r="I50" s="19" t="s">
        <v>462</v>
      </c>
      <c r="J50" s="19" t="s">
        <v>105</v>
      </c>
      <c r="K50" s="19" t="b">
        <v>0</v>
      </c>
      <c r="L50" s="15">
        <v>2013</v>
      </c>
      <c r="M50" s="16">
        <v>0.0609</v>
      </c>
      <c r="N50" s="16">
        <v>0.0623</v>
      </c>
      <c r="O50" s="16">
        <v>0.0622</v>
      </c>
      <c r="P50" s="16">
        <v>0.061</v>
      </c>
      <c r="Q50" s="20">
        <v>41451</v>
      </c>
      <c r="R50" s="20">
        <v>41451</v>
      </c>
    </row>
    <row r="51" spans="1:18" ht="14.25">
      <c r="A51" s="17">
        <v>2013</v>
      </c>
      <c r="B51" s="18" t="s">
        <v>453</v>
      </c>
      <c r="C51" s="18" t="s">
        <v>454</v>
      </c>
      <c r="D51" s="19">
        <v>223000</v>
      </c>
      <c r="E51" s="19">
        <v>0</v>
      </c>
      <c r="F51" s="19"/>
      <c r="G51" s="19">
        <v>670</v>
      </c>
      <c r="H51" s="19">
        <v>12.1</v>
      </c>
      <c r="I51" s="19"/>
      <c r="J51" s="19" t="s">
        <v>122</v>
      </c>
      <c r="K51" s="19" t="b">
        <v>1</v>
      </c>
      <c r="L51" s="15">
        <v>2013</v>
      </c>
      <c r="M51" s="16">
        <v>309090</v>
      </c>
      <c r="N51" s="16">
        <v>142329</v>
      </c>
      <c r="O51" s="16">
        <v>721048</v>
      </c>
      <c r="P51" s="16">
        <v>661052</v>
      </c>
      <c r="Q51" s="20">
        <v>41451</v>
      </c>
      <c r="R51" s="20">
        <v>41451</v>
      </c>
    </row>
    <row r="52" spans="1:18" ht="14.25">
      <c r="A52" s="17">
        <v>2013</v>
      </c>
      <c r="B52" s="18" t="s">
        <v>453</v>
      </c>
      <c r="C52" s="18" t="s">
        <v>454</v>
      </c>
      <c r="D52" s="19">
        <v>223000</v>
      </c>
      <c r="E52" s="19">
        <v>0</v>
      </c>
      <c r="F52" s="19"/>
      <c r="G52" s="19">
        <v>80</v>
      </c>
      <c r="H52" s="19" t="s">
        <v>51</v>
      </c>
      <c r="I52" s="19"/>
      <c r="J52" s="19" t="s">
        <v>52</v>
      </c>
      <c r="K52" s="19" t="b">
        <v>1</v>
      </c>
      <c r="L52" s="15">
        <v>2013</v>
      </c>
      <c r="M52" s="16">
        <v>14010221</v>
      </c>
      <c r="N52" s="16">
        <v>14631906</v>
      </c>
      <c r="O52" s="16">
        <v>13977725</v>
      </c>
      <c r="P52" s="16">
        <v>14334587</v>
      </c>
      <c r="Q52" s="20">
        <v>41451</v>
      </c>
      <c r="R52" s="20">
        <v>41451</v>
      </c>
    </row>
    <row r="53" spans="1:18" ht="14.25">
      <c r="A53" s="17">
        <v>2013</v>
      </c>
      <c r="B53" s="18" t="s">
        <v>453</v>
      </c>
      <c r="C53" s="18" t="s">
        <v>454</v>
      </c>
      <c r="D53" s="19">
        <v>223000</v>
      </c>
      <c r="E53" s="19">
        <v>0</v>
      </c>
      <c r="F53" s="19"/>
      <c r="G53" s="19">
        <v>380</v>
      </c>
      <c r="H53" s="19">
        <v>6.2</v>
      </c>
      <c r="I53" s="19" t="s">
        <v>466</v>
      </c>
      <c r="J53" s="19" t="s">
        <v>90</v>
      </c>
      <c r="K53" s="19" t="b">
        <v>0</v>
      </c>
      <c r="L53" s="15">
        <v>2013</v>
      </c>
      <c r="M53" s="16">
        <v>0.3677</v>
      </c>
      <c r="N53" s="16">
        <v>0.3734</v>
      </c>
      <c r="O53" s="16">
        <v>0.4799</v>
      </c>
      <c r="P53" s="16">
        <v>0.4735</v>
      </c>
      <c r="Q53" s="20">
        <v>41451</v>
      </c>
      <c r="R53" s="20">
        <v>41451</v>
      </c>
    </row>
    <row r="54" spans="1:18" ht="14.25">
      <c r="A54" s="17">
        <v>2013</v>
      </c>
      <c r="B54" s="18" t="s">
        <v>453</v>
      </c>
      <c r="C54" s="18" t="s">
        <v>454</v>
      </c>
      <c r="D54" s="19">
        <v>223000</v>
      </c>
      <c r="E54" s="19">
        <v>0</v>
      </c>
      <c r="F54" s="19"/>
      <c r="G54" s="19">
        <v>910</v>
      </c>
      <c r="H54" s="19" t="s">
        <v>154</v>
      </c>
      <c r="I54" s="19"/>
      <c r="J54" s="19" t="s">
        <v>155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41451</v>
      </c>
      <c r="R54" s="20">
        <v>41451</v>
      </c>
    </row>
    <row r="55" spans="1:18" ht="14.25">
      <c r="A55" s="17">
        <v>2013</v>
      </c>
      <c r="B55" s="18" t="s">
        <v>453</v>
      </c>
      <c r="C55" s="18" t="s">
        <v>454</v>
      </c>
      <c r="D55" s="19">
        <v>223000</v>
      </c>
      <c r="E55" s="19">
        <v>0</v>
      </c>
      <c r="F55" s="19"/>
      <c r="G55" s="19">
        <v>840</v>
      </c>
      <c r="H55" s="19">
        <v>13.5</v>
      </c>
      <c r="I55" s="19"/>
      <c r="J55" s="19" t="s">
        <v>147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41451</v>
      </c>
      <c r="R55" s="20">
        <v>41451</v>
      </c>
    </row>
    <row r="56" spans="1:18" ht="14.25">
      <c r="A56" s="17">
        <v>2013</v>
      </c>
      <c r="B56" s="18" t="s">
        <v>453</v>
      </c>
      <c r="C56" s="18" t="s">
        <v>454</v>
      </c>
      <c r="D56" s="19">
        <v>223000</v>
      </c>
      <c r="E56" s="19">
        <v>0</v>
      </c>
      <c r="F56" s="19"/>
      <c r="G56" s="19">
        <v>50</v>
      </c>
      <c r="H56" s="19" t="s">
        <v>45</v>
      </c>
      <c r="I56" s="19"/>
      <c r="J56" s="19" t="s">
        <v>46</v>
      </c>
      <c r="K56" s="19" t="b">
        <v>1</v>
      </c>
      <c r="L56" s="15">
        <v>2013</v>
      </c>
      <c r="M56" s="16">
        <v>4343726</v>
      </c>
      <c r="N56" s="16">
        <v>7032895</v>
      </c>
      <c r="O56" s="16">
        <v>7100000</v>
      </c>
      <c r="P56" s="16">
        <v>6995921</v>
      </c>
      <c r="Q56" s="20">
        <v>41451</v>
      </c>
      <c r="R56" s="20">
        <v>41451</v>
      </c>
    </row>
    <row r="57" spans="1:18" ht="14.25">
      <c r="A57" s="17">
        <v>2013</v>
      </c>
      <c r="B57" s="18" t="s">
        <v>453</v>
      </c>
      <c r="C57" s="18" t="s">
        <v>454</v>
      </c>
      <c r="D57" s="19">
        <v>223000</v>
      </c>
      <c r="E57" s="19">
        <v>0</v>
      </c>
      <c r="F57" s="19"/>
      <c r="G57" s="19">
        <v>220</v>
      </c>
      <c r="H57" s="19">
        <v>4.1</v>
      </c>
      <c r="I57" s="19"/>
      <c r="J57" s="19" t="s">
        <v>70</v>
      </c>
      <c r="K57" s="19" t="b">
        <v>0</v>
      </c>
      <c r="L57" s="15">
        <v>2013</v>
      </c>
      <c r="M57" s="16">
        <v>0</v>
      </c>
      <c r="N57" s="16">
        <v>0</v>
      </c>
      <c r="O57" s="16">
        <v>0</v>
      </c>
      <c r="P57" s="16">
        <v>0</v>
      </c>
      <c r="Q57" s="20">
        <v>41451</v>
      </c>
      <c r="R57" s="20">
        <v>41451</v>
      </c>
    </row>
    <row r="58" spans="1:18" ht="14.25">
      <c r="A58" s="17">
        <v>2013</v>
      </c>
      <c r="B58" s="18" t="s">
        <v>453</v>
      </c>
      <c r="C58" s="18" t="s">
        <v>454</v>
      </c>
      <c r="D58" s="19">
        <v>223000</v>
      </c>
      <c r="E58" s="19">
        <v>0</v>
      </c>
      <c r="F58" s="19"/>
      <c r="G58" s="19">
        <v>170</v>
      </c>
      <c r="H58" s="19" t="s">
        <v>65</v>
      </c>
      <c r="I58" s="19"/>
      <c r="J58" s="19" t="s">
        <v>66</v>
      </c>
      <c r="K58" s="19" t="b">
        <v>1</v>
      </c>
      <c r="L58" s="15">
        <v>2013</v>
      </c>
      <c r="M58" s="16">
        <v>1570087</v>
      </c>
      <c r="N58" s="16">
        <v>1603219</v>
      </c>
      <c r="O58" s="16">
        <v>1780000</v>
      </c>
      <c r="P58" s="16">
        <v>1746298</v>
      </c>
      <c r="Q58" s="20">
        <v>41451</v>
      </c>
      <c r="R58" s="20">
        <v>41451</v>
      </c>
    </row>
    <row r="59" spans="1:18" ht="14.25">
      <c r="A59" s="17">
        <v>2013</v>
      </c>
      <c r="B59" s="18" t="s">
        <v>453</v>
      </c>
      <c r="C59" s="18" t="s">
        <v>454</v>
      </c>
      <c r="D59" s="19">
        <v>223000</v>
      </c>
      <c r="E59" s="19">
        <v>0</v>
      </c>
      <c r="F59" s="19"/>
      <c r="G59" s="19">
        <v>870</v>
      </c>
      <c r="H59" s="19">
        <v>14</v>
      </c>
      <c r="I59" s="19"/>
      <c r="J59" s="19" t="s">
        <v>150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41451</v>
      </c>
      <c r="R59" s="20">
        <v>41451</v>
      </c>
    </row>
    <row r="60" spans="1:18" ht="14.25">
      <c r="A60" s="17">
        <v>2013</v>
      </c>
      <c r="B60" s="18" t="s">
        <v>453</v>
      </c>
      <c r="C60" s="18" t="s">
        <v>454</v>
      </c>
      <c r="D60" s="19">
        <v>223000</v>
      </c>
      <c r="E60" s="19">
        <v>0</v>
      </c>
      <c r="F60" s="19"/>
      <c r="G60" s="19">
        <v>410</v>
      </c>
      <c r="H60" s="19">
        <v>8</v>
      </c>
      <c r="I60" s="19"/>
      <c r="J60" s="19" t="s">
        <v>174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41451</v>
      </c>
      <c r="R60" s="20">
        <v>41451</v>
      </c>
    </row>
    <row r="61" spans="1:18" ht="14.25">
      <c r="A61" s="17">
        <v>2013</v>
      </c>
      <c r="B61" s="18" t="s">
        <v>453</v>
      </c>
      <c r="C61" s="18" t="s">
        <v>454</v>
      </c>
      <c r="D61" s="19">
        <v>223000</v>
      </c>
      <c r="E61" s="19">
        <v>0</v>
      </c>
      <c r="F61" s="19"/>
      <c r="G61" s="19">
        <v>440</v>
      </c>
      <c r="H61" s="19">
        <v>9</v>
      </c>
      <c r="I61" s="19"/>
      <c r="J61" s="19" t="s">
        <v>177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41451</v>
      </c>
      <c r="R61" s="20">
        <v>41451</v>
      </c>
    </row>
    <row r="62" spans="1:18" ht="14.25">
      <c r="A62" s="17">
        <v>2013</v>
      </c>
      <c r="B62" s="18" t="s">
        <v>453</v>
      </c>
      <c r="C62" s="18" t="s">
        <v>454</v>
      </c>
      <c r="D62" s="19">
        <v>223000</v>
      </c>
      <c r="E62" s="19">
        <v>0</v>
      </c>
      <c r="F62" s="19"/>
      <c r="G62" s="19">
        <v>110</v>
      </c>
      <c r="H62" s="19" t="s">
        <v>56</v>
      </c>
      <c r="I62" s="19"/>
      <c r="J62" s="19" t="s">
        <v>57</v>
      </c>
      <c r="K62" s="19" t="b">
        <v>1</v>
      </c>
      <c r="L62" s="15">
        <v>2013</v>
      </c>
      <c r="M62" s="16">
        <v>9838904</v>
      </c>
      <c r="N62" s="16">
        <v>4301716</v>
      </c>
      <c r="O62" s="16">
        <v>2824287</v>
      </c>
      <c r="P62" s="16">
        <v>3303468</v>
      </c>
      <c r="Q62" s="20">
        <v>41451</v>
      </c>
      <c r="R62" s="20">
        <v>41451</v>
      </c>
    </row>
    <row r="63" spans="1:18" ht="14.25">
      <c r="A63" s="17">
        <v>2013</v>
      </c>
      <c r="B63" s="18" t="s">
        <v>453</v>
      </c>
      <c r="C63" s="18" t="s">
        <v>454</v>
      </c>
      <c r="D63" s="19">
        <v>223000</v>
      </c>
      <c r="E63" s="19">
        <v>0</v>
      </c>
      <c r="F63" s="19"/>
      <c r="G63" s="19">
        <v>290</v>
      </c>
      <c r="H63" s="19" t="s">
        <v>79</v>
      </c>
      <c r="I63" s="19"/>
      <c r="J63" s="19" t="s">
        <v>75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41451</v>
      </c>
      <c r="R63" s="20">
        <v>41451</v>
      </c>
    </row>
    <row r="64" spans="1:18" ht="14.25">
      <c r="A64" s="17">
        <v>2013</v>
      </c>
      <c r="B64" s="18" t="s">
        <v>453</v>
      </c>
      <c r="C64" s="18" t="s">
        <v>454</v>
      </c>
      <c r="D64" s="19">
        <v>223000</v>
      </c>
      <c r="E64" s="19">
        <v>0</v>
      </c>
      <c r="F64" s="19"/>
      <c r="G64" s="19">
        <v>940</v>
      </c>
      <c r="H64" s="19">
        <v>14.4</v>
      </c>
      <c r="I64" s="19"/>
      <c r="J64" s="19" t="s">
        <v>160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41451</v>
      </c>
      <c r="R64" s="20">
        <v>41451</v>
      </c>
    </row>
    <row r="65" spans="1:18" ht="14.25">
      <c r="A65" s="17">
        <v>2013</v>
      </c>
      <c r="B65" s="18" t="s">
        <v>453</v>
      </c>
      <c r="C65" s="18" t="s">
        <v>454</v>
      </c>
      <c r="D65" s="19">
        <v>223000</v>
      </c>
      <c r="E65" s="19">
        <v>0</v>
      </c>
      <c r="F65" s="19"/>
      <c r="G65" s="19">
        <v>360</v>
      </c>
      <c r="H65" s="19">
        <v>6.1</v>
      </c>
      <c r="I65" s="19"/>
      <c r="J65" s="19" t="s">
        <v>475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41451</v>
      </c>
      <c r="R65" s="20">
        <v>41451</v>
      </c>
    </row>
    <row r="66" spans="1:18" ht="14.25">
      <c r="A66" s="17">
        <v>2013</v>
      </c>
      <c r="B66" s="18" t="s">
        <v>453</v>
      </c>
      <c r="C66" s="18" t="s">
        <v>454</v>
      </c>
      <c r="D66" s="19">
        <v>223000</v>
      </c>
      <c r="E66" s="19">
        <v>0</v>
      </c>
      <c r="F66" s="19"/>
      <c r="G66" s="19">
        <v>100</v>
      </c>
      <c r="H66" s="19" t="s">
        <v>54</v>
      </c>
      <c r="I66" s="19"/>
      <c r="J66" s="19" t="s">
        <v>55</v>
      </c>
      <c r="K66" s="19" t="b">
        <v>1</v>
      </c>
      <c r="L66" s="15">
        <v>2013</v>
      </c>
      <c r="M66" s="16">
        <v>532340</v>
      </c>
      <c r="N66" s="16">
        <v>2242706</v>
      </c>
      <c r="O66" s="16">
        <v>11020603</v>
      </c>
      <c r="P66" s="16">
        <v>10273157</v>
      </c>
      <c r="Q66" s="20">
        <v>41451</v>
      </c>
      <c r="R66" s="20">
        <v>41451</v>
      </c>
    </row>
    <row r="67" spans="1:18" ht="14.25">
      <c r="A67" s="17">
        <v>2013</v>
      </c>
      <c r="B67" s="18" t="s">
        <v>453</v>
      </c>
      <c r="C67" s="18" t="s">
        <v>454</v>
      </c>
      <c r="D67" s="19">
        <v>223000</v>
      </c>
      <c r="E67" s="19">
        <v>0</v>
      </c>
      <c r="F67" s="19"/>
      <c r="G67" s="19">
        <v>400</v>
      </c>
      <c r="H67" s="19">
        <v>7</v>
      </c>
      <c r="I67" s="19"/>
      <c r="J67" s="19" t="s">
        <v>92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41451</v>
      </c>
      <c r="R67" s="20">
        <v>41451</v>
      </c>
    </row>
    <row r="68" spans="1:18" ht="14.25">
      <c r="A68" s="17">
        <v>2013</v>
      </c>
      <c r="B68" s="18" t="s">
        <v>453</v>
      </c>
      <c r="C68" s="18" t="s">
        <v>454</v>
      </c>
      <c r="D68" s="19">
        <v>223000</v>
      </c>
      <c r="E68" s="19">
        <v>0</v>
      </c>
      <c r="F68" s="19"/>
      <c r="G68" s="19">
        <v>560</v>
      </c>
      <c r="H68" s="19">
        <v>10.1</v>
      </c>
      <c r="I68" s="19"/>
      <c r="J68" s="19" t="s">
        <v>109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41451</v>
      </c>
      <c r="R68" s="20">
        <v>41451</v>
      </c>
    </row>
    <row r="69" spans="1:18" ht="14.25">
      <c r="A69" s="17">
        <v>2013</v>
      </c>
      <c r="B69" s="18" t="s">
        <v>453</v>
      </c>
      <c r="C69" s="18" t="s">
        <v>454</v>
      </c>
      <c r="D69" s="19">
        <v>223000</v>
      </c>
      <c r="E69" s="19">
        <v>0</v>
      </c>
      <c r="F69" s="19"/>
      <c r="G69" s="19">
        <v>130</v>
      </c>
      <c r="H69" s="19">
        <v>2.1</v>
      </c>
      <c r="I69" s="19"/>
      <c r="J69" s="19" t="s">
        <v>58</v>
      </c>
      <c r="K69" s="19" t="b">
        <v>1</v>
      </c>
      <c r="L69" s="15">
        <v>2013</v>
      </c>
      <c r="M69" s="16">
        <v>68965429</v>
      </c>
      <c r="N69" s="16">
        <v>74990877</v>
      </c>
      <c r="O69" s="16">
        <v>75953060</v>
      </c>
      <c r="P69" s="16">
        <v>71079775</v>
      </c>
      <c r="Q69" s="20">
        <v>41451</v>
      </c>
      <c r="R69" s="20">
        <v>41451</v>
      </c>
    </row>
    <row r="70" spans="1:18" ht="14.25">
      <c r="A70" s="17">
        <v>2013</v>
      </c>
      <c r="B70" s="18" t="s">
        <v>453</v>
      </c>
      <c r="C70" s="18" t="s">
        <v>454</v>
      </c>
      <c r="D70" s="19">
        <v>223000</v>
      </c>
      <c r="E70" s="19">
        <v>0</v>
      </c>
      <c r="F70" s="19"/>
      <c r="G70" s="19">
        <v>650</v>
      </c>
      <c r="H70" s="19">
        <v>11.6</v>
      </c>
      <c r="I70" s="19"/>
      <c r="J70" s="19" t="s">
        <v>120</v>
      </c>
      <c r="K70" s="19" t="b">
        <v>1</v>
      </c>
      <c r="L70" s="15">
        <v>2013</v>
      </c>
      <c r="M70" s="16">
        <v>3074004</v>
      </c>
      <c r="N70" s="16">
        <v>654639</v>
      </c>
      <c r="O70" s="16">
        <v>443556</v>
      </c>
      <c r="P70" s="16">
        <v>443556</v>
      </c>
      <c r="Q70" s="20">
        <v>41451</v>
      </c>
      <c r="R70" s="20">
        <v>41451</v>
      </c>
    </row>
    <row r="71" spans="1:18" ht="14.25">
      <c r="A71" s="17">
        <v>2013</v>
      </c>
      <c r="B71" s="18" t="s">
        <v>453</v>
      </c>
      <c r="C71" s="18" t="s">
        <v>454</v>
      </c>
      <c r="D71" s="19">
        <v>223000</v>
      </c>
      <c r="E71" s="19">
        <v>0</v>
      </c>
      <c r="F71" s="19"/>
      <c r="G71" s="19">
        <v>90</v>
      </c>
      <c r="H71" s="19">
        <v>1.2</v>
      </c>
      <c r="I71" s="19"/>
      <c r="J71" s="19" t="s">
        <v>53</v>
      </c>
      <c r="K71" s="19" t="b">
        <v>1</v>
      </c>
      <c r="L71" s="15">
        <v>2013</v>
      </c>
      <c r="M71" s="16">
        <v>10371244</v>
      </c>
      <c r="N71" s="16">
        <v>6544422</v>
      </c>
      <c r="O71" s="16">
        <v>13844890</v>
      </c>
      <c r="P71" s="16">
        <v>13576625</v>
      </c>
      <c r="Q71" s="20">
        <v>41451</v>
      </c>
      <c r="R71" s="20">
        <v>41451</v>
      </c>
    </row>
    <row r="72" spans="1:18" ht="14.25">
      <c r="A72" s="17">
        <v>2013</v>
      </c>
      <c r="B72" s="18" t="s">
        <v>453</v>
      </c>
      <c r="C72" s="18" t="s">
        <v>454</v>
      </c>
      <c r="D72" s="19">
        <v>223000</v>
      </c>
      <c r="E72" s="19">
        <v>0</v>
      </c>
      <c r="F72" s="19"/>
      <c r="G72" s="19">
        <v>820</v>
      </c>
      <c r="H72" s="19">
        <v>13.3</v>
      </c>
      <c r="I72" s="19"/>
      <c r="J72" s="19" t="s">
        <v>145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41451</v>
      </c>
      <c r="R72" s="20">
        <v>41451</v>
      </c>
    </row>
    <row r="73" spans="1:18" ht="14.25">
      <c r="A73" s="17">
        <v>2013</v>
      </c>
      <c r="B73" s="18" t="s">
        <v>453</v>
      </c>
      <c r="C73" s="18" t="s">
        <v>454</v>
      </c>
      <c r="D73" s="19">
        <v>223000</v>
      </c>
      <c r="E73" s="19">
        <v>0</v>
      </c>
      <c r="F73" s="19"/>
      <c r="G73" s="19">
        <v>150</v>
      </c>
      <c r="H73" s="19" t="s">
        <v>61</v>
      </c>
      <c r="I73" s="19"/>
      <c r="J73" s="19" t="s">
        <v>62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41451</v>
      </c>
      <c r="R73" s="20">
        <v>41451</v>
      </c>
    </row>
    <row r="74" spans="1:18" ht="14.25">
      <c r="A74" s="17">
        <v>2013</v>
      </c>
      <c r="B74" s="18" t="s">
        <v>453</v>
      </c>
      <c r="C74" s="18" t="s">
        <v>454</v>
      </c>
      <c r="D74" s="19">
        <v>223000</v>
      </c>
      <c r="E74" s="19">
        <v>0</v>
      </c>
      <c r="F74" s="19"/>
      <c r="G74" s="19">
        <v>340</v>
      </c>
      <c r="H74" s="19">
        <v>5.2</v>
      </c>
      <c r="I74" s="19"/>
      <c r="J74" s="19" t="s">
        <v>86</v>
      </c>
      <c r="K74" s="19" t="b">
        <v>0</v>
      </c>
      <c r="L74" s="15">
        <v>2013</v>
      </c>
      <c r="M74" s="16">
        <v>0</v>
      </c>
      <c r="N74" s="16">
        <v>0</v>
      </c>
      <c r="O74" s="16">
        <v>0</v>
      </c>
      <c r="P74" s="16">
        <v>0</v>
      </c>
      <c r="Q74" s="20">
        <v>41451</v>
      </c>
      <c r="R74" s="20">
        <v>41451</v>
      </c>
    </row>
    <row r="75" spans="1:18" ht="14.25">
      <c r="A75" s="17">
        <v>2013</v>
      </c>
      <c r="B75" s="18" t="s">
        <v>453</v>
      </c>
      <c r="C75" s="18" t="s">
        <v>454</v>
      </c>
      <c r="D75" s="19">
        <v>223000</v>
      </c>
      <c r="E75" s="19">
        <v>0</v>
      </c>
      <c r="F75" s="19"/>
      <c r="G75" s="19">
        <v>250</v>
      </c>
      <c r="H75" s="19" t="s">
        <v>74</v>
      </c>
      <c r="I75" s="19"/>
      <c r="J75" s="19" t="s">
        <v>75</v>
      </c>
      <c r="K75" s="19" t="b">
        <v>0</v>
      </c>
      <c r="L75" s="15">
        <v>2013</v>
      </c>
      <c r="M75" s="16">
        <v>0</v>
      </c>
      <c r="N75" s="16">
        <v>35306</v>
      </c>
      <c r="O75" s="16">
        <v>4120800</v>
      </c>
      <c r="P75" s="16">
        <v>0</v>
      </c>
      <c r="Q75" s="20">
        <v>41451</v>
      </c>
      <c r="R75" s="20">
        <v>41451</v>
      </c>
    </row>
    <row r="76" spans="1:18" ht="14.25">
      <c r="A76" s="17">
        <v>2013</v>
      </c>
      <c r="B76" s="18" t="s">
        <v>453</v>
      </c>
      <c r="C76" s="18" t="s">
        <v>454</v>
      </c>
      <c r="D76" s="19">
        <v>223000</v>
      </c>
      <c r="E76" s="19">
        <v>0</v>
      </c>
      <c r="F76" s="19"/>
      <c r="G76" s="19">
        <v>370</v>
      </c>
      <c r="H76" s="19" t="s">
        <v>88</v>
      </c>
      <c r="I76" s="19"/>
      <c r="J76" s="19" t="s">
        <v>89</v>
      </c>
      <c r="K76" s="19" t="b">
        <v>1</v>
      </c>
      <c r="L76" s="15">
        <v>2013</v>
      </c>
      <c r="M76" s="16">
        <v>0</v>
      </c>
      <c r="N76" s="16">
        <v>0</v>
      </c>
      <c r="O76" s="16">
        <v>0</v>
      </c>
      <c r="P76" s="16">
        <v>0</v>
      </c>
      <c r="Q76" s="20">
        <v>41451</v>
      </c>
      <c r="R76" s="20">
        <v>41451</v>
      </c>
    </row>
    <row r="77" spans="1:18" ht="14.25">
      <c r="A77" s="17">
        <v>2013</v>
      </c>
      <c r="B77" s="18" t="s">
        <v>453</v>
      </c>
      <c r="C77" s="18" t="s">
        <v>454</v>
      </c>
      <c r="D77" s="19">
        <v>223000</v>
      </c>
      <c r="E77" s="19">
        <v>0</v>
      </c>
      <c r="F77" s="19"/>
      <c r="G77" s="19">
        <v>750</v>
      </c>
      <c r="H77" s="19" t="s">
        <v>135</v>
      </c>
      <c r="I77" s="19"/>
      <c r="J77" s="19" t="s">
        <v>136</v>
      </c>
      <c r="K77" s="19" t="b">
        <v>0</v>
      </c>
      <c r="L77" s="15">
        <v>2013</v>
      </c>
      <c r="M77" s="16">
        <v>279644</v>
      </c>
      <c r="N77" s="16">
        <v>135172</v>
      </c>
      <c r="O77" s="16">
        <v>650400</v>
      </c>
      <c r="P77" s="16">
        <v>531009</v>
      </c>
      <c r="Q77" s="20">
        <v>41451</v>
      </c>
      <c r="R77" s="20">
        <v>41451</v>
      </c>
    </row>
    <row r="78" spans="1:18" ht="14.25">
      <c r="A78" s="17">
        <v>2013</v>
      </c>
      <c r="B78" s="18" t="s">
        <v>453</v>
      </c>
      <c r="C78" s="18" t="s">
        <v>454</v>
      </c>
      <c r="D78" s="19">
        <v>223000</v>
      </c>
      <c r="E78" s="19">
        <v>0</v>
      </c>
      <c r="F78" s="19"/>
      <c r="G78" s="19">
        <v>420</v>
      </c>
      <c r="H78" s="19">
        <v>8.1</v>
      </c>
      <c r="I78" s="19" t="s">
        <v>456</v>
      </c>
      <c r="J78" s="19" t="s">
        <v>93</v>
      </c>
      <c r="K78" s="19" t="b">
        <v>0</v>
      </c>
      <c r="L78" s="15">
        <v>2013</v>
      </c>
      <c r="M78" s="16">
        <v>3438585</v>
      </c>
      <c r="N78" s="16">
        <v>-35306</v>
      </c>
      <c r="O78" s="16">
        <v>245000</v>
      </c>
      <c r="P78" s="16">
        <v>6616713</v>
      </c>
      <c r="Q78" s="20">
        <v>41451</v>
      </c>
      <c r="R78" s="20">
        <v>41451</v>
      </c>
    </row>
    <row r="79" spans="1:18" ht="14.25">
      <c r="A79" s="17">
        <v>2013</v>
      </c>
      <c r="B79" s="18" t="s">
        <v>453</v>
      </c>
      <c r="C79" s="18" t="s">
        <v>454</v>
      </c>
      <c r="D79" s="19">
        <v>223000</v>
      </c>
      <c r="E79" s="19">
        <v>0</v>
      </c>
      <c r="F79" s="19"/>
      <c r="G79" s="19">
        <v>610</v>
      </c>
      <c r="H79" s="19" t="s">
        <v>114</v>
      </c>
      <c r="I79" s="19"/>
      <c r="J79" s="19" t="s">
        <v>115</v>
      </c>
      <c r="K79" s="19" t="b">
        <v>1</v>
      </c>
      <c r="L79" s="15">
        <v>2013</v>
      </c>
      <c r="M79" s="16">
        <v>0</v>
      </c>
      <c r="N79" s="16">
        <v>276122</v>
      </c>
      <c r="O79" s="16">
        <v>912367</v>
      </c>
      <c r="P79" s="16">
        <v>828741</v>
      </c>
      <c r="Q79" s="20">
        <v>41451</v>
      </c>
      <c r="R79" s="20">
        <v>41451</v>
      </c>
    </row>
    <row r="80" spans="1:18" ht="14.25">
      <c r="A80" s="17">
        <v>2013</v>
      </c>
      <c r="B80" s="18" t="s">
        <v>453</v>
      </c>
      <c r="C80" s="18" t="s">
        <v>454</v>
      </c>
      <c r="D80" s="19">
        <v>223000</v>
      </c>
      <c r="E80" s="19">
        <v>0</v>
      </c>
      <c r="F80" s="19"/>
      <c r="G80" s="19">
        <v>590</v>
      </c>
      <c r="H80" s="19">
        <v>11.2</v>
      </c>
      <c r="I80" s="19"/>
      <c r="J80" s="19" t="s">
        <v>112</v>
      </c>
      <c r="K80" s="19" t="b">
        <v>1</v>
      </c>
      <c r="L80" s="15">
        <v>2013</v>
      </c>
      <c r="M80" s="16">
        <v>14641285</v>
      </c>
      <c r="N80" s="16">
        <v>10683212</v>
      </c>
      <c r="O80" s="16">
        <v>11667199</v>
      </c>
      <c r="P80" s="16">
        <v>10893386</v>
      </c>
      <c r="Q80" s="20">
        <v>41451</v>
      </c>
      <c r="R80" s="20">
        <v>41451</v>
      </c>
    </row>
    <row r="81" spans="1:18" ht="14.25">
      <c r="A81" s="17">
        <v>2013</v>
      </c>
      <c r="B81" s="18" t="s">
        <v>453</v>
      </c>
      <c r="C81" s="18" t="s">
        <v>454</v>
      </c>
      <c r="D81" s="19">
        <v>223000</v>
      </c>
      <c r="E81" s="19">
        <v>0</v>
      </c>
      <c r="F81" s="19"/>
      <c r="G81" s="19">
        <v>880</v>
      </c>
      <c r="H81" s="19">
        <v>14.1</v>
      </c>
      <c r="I81" s="19"/>
      <c r="J81" s="19" t="s">
        <v>151</v>
      </c>
      <c r="K81" s="19" t="b">
        <v>1</v>
      </c>
      <c r="L81" s="15">
        <v>2013</v>
      </c>
      <c r="M81" s="16">
        <v>3474681</v>
      </c>
      <c r="N81" s="16">
        <v>3472648</v>
      </c>
      <c r="O81" s="16">
        <v>3819913</v>
      </c>
      <c r="P81" s="16">
        <v>3819912</v>
      </c>
      <c r="Q81" s="20">
        <v>41451</v>
      </c>
      <c r="R81" s="20">
        <v>41451</v>
      </c>
    </row>
    <row r="82" spans="1:18" ht="14.25">
      <c r="A82" s="17">
        <v>2013</v>
      </c>
      <c r="B82" s="18" t="s">
        <v>453</v>
      </c>
      <c r="C82" s="18" t="s">
        <v>454</v>
      </c>
      <c r="D82" s="19">
        <v>223000</v>
      </c>
      <c r="E82" s="19">
        <v>0</v>
      </c>
      <c r="F82" s="19"/>
      <c r="G82" s="19">
        <v>450</v>
      </c>
      <c r="H82" s="19">
        <v>9.1</v>
      </c>
      <c r="I82" s="19" t="s">
        <v>459</v>
      </c>
      <c r="J82" s="19" t="s">
        <v>95</v>
      </c>
      <c r="K82" s="19" t="b">
        <v>1</v>
      </c>
      <c r="L82" s="15">
        <v>2013</v>
      </c>
      <c r="M82" s="16">
        <v>0.0609</v>
      </c>
      <c r="N82" s="16">
        <v>0.0623</v>
      </c>
      <c r="O82" s="16">
        <v>0.0622</v>
      </c>
      <c r="P82" s="16">
        <v>0.061</v>
      </c>
      <c r="Q82" s="20">
        <v>41451</v>
      </c>
      <c r="R82" s="20">
        <v>41451</v>
      </c>
    </row>
    <row r="83" spans="1:18" ht="14.25">
      <c r="A83" s="17">
        <v>2013</v>
      </c>
      <c r="B83" s="18" t="s">
        <v>453</v>
      </c>
      <c r="C83" s="18" t="s">
        <v>454</v>
      </c>
      <c r="D83" s="19">
        <v>223000</v>
      </c>
      <c r="E83" s="19">
        <v>0</v>
      </c>
      <c r="F83" s="19"/>
      <c r="G83" s="19">
        <v>600</v>
      </c>
      <c r="H83" s="19">
        <v>11.3</v>
      </c>
      <c r="I83" s="19" t="s">
        <v>468</v>
      </c>
      <c r="J83" s="19" t="s">
        <v>113</v>
      </c>
      <c r="K83" s="19" t="b">
        <v>1</v>
      </c>
      <c r="L83" s="15">
        <v>2013</v>
      </c>
      <c r="M83" s="16">
        <v>0</v>
      </c>
      <c r="N83" s="16">
        <v>5344358</v>
      </c>
      <c r="O83" s="16">
        <v>22454867</v>
      </c>
      <c r="P83" s="16">
        <v>21917958</v>
      </c>
      <c r="Q83" s="20">
        <v>41451</v>
      </c>
      <c r="R83" s="20">
        <v>41451</v>
      </c>
    </row>
    <row r="84" spans="1:18" ht="14.25">
      <c r="A84" s="17">
        <v>2013</v>
      </c>
      <c r="B84" s="18" t="s">
        <v>453</v>
      </c>
      <c r="C84" s="18" t="s">
        <v>454</v>
      </c>
      <c r="D84" s="19">
        <v>223000</v>
      </c>
      <c r="E84" s="19">
        <v>0</v>
      </c>
      <c r="F84" s="19"/>
      <c r="G84" s="19">
        <v>120</v>
      </c>
      <c r="H84" s="19">
        <v>2</v>
      </c>
      <c r="I84" s="19" t="s">
        <v>469</v>
      </c>
      <c r="J84" s="19" t="s">
        <v>21</v>
      </c>
      <c r="K84" s="19" t="b">
        <v>0</v>
      </c>
      <c r="L84" s="15">
        <v>2013</v>
      </c>
      <c r="M84" s="16">
        <v>76238824</v>
      </c>
      <c r="N84" s="16">
        <v>81534270</v>
      </c>
      <c r="O84" s="16">
        <v>101163750</v>
      </c>
      <c r="P84" s="16">
        <v>94986416</v>
      </c>
      <c r="Q84" s="20">
        <v>41451</v>
      </c>
      <c r="R84" s="20">
        <v>41451</v>
      </c>
    </row>
    <row r="85" spans="1:18" ht="14.25">
      <c r="A85" s="17">
        <v>2013</v>
      </c>
      <c r="B85" s="18" t="s">
        <v>453</v>
      </c>
      <c r="C85" s="18" t="s">
        <v>454</v>
      </c>
      <c r="D85" s="19">
        <v>223000</v>
      </c>
      <c r="E85" s="19">
        <v>0</v>
      </c>
      <c r="F85" s="19"/>
      <c r="G85" s="19">
        <v>430</v>
      </c>
      <c r="H85" s="19">
        <v>8.2</v>
      </c>
      <c r="I85" s="19" t="s">
        <v>471</v>
      </c>
      <c r="J85" s="19" t="s">
        <v>94</v>
      </c>
      <c r="K85" s="19" t="b">
        <v>0</v>
      </c>
      <c r="L85" s="15">
        <v>2013</v>
      </c>
      <c r="M85" s="16">
        <v>8535652</v>
      </c>
      <c r="N85" s="16">
        <v>8123514</v>
      </c>
      <c r="O85" s="16">
        <v>8185713</v>
      </c>
      <c r="P85" s="16">
        <v>14741256</v>
      </c>
      <c r="Q85" s="20">
        <v>41451</v>
      </c>
      <c r="R85" s="20">
        <v>41451</v>
      </c>
    </row>
    <row r="86" spans="1:18" ht="14.25">
      <c r="A86" s="17">
        <v>2013</v>
      </c>
      <c r="B86" s="18" t="s">
        <v>453</v>
      </c>
      <c r="C86" s="18" t="s">
        <v>454</v>
      </c>
      <c r="D86" s="19">
        <v>223000</v>
      </c>
      <c r="E86" s="19">
        <v>0</v>
      </c>
      <c r="F86" s="19"/>
      <c r="G86" s="19">
        <v>850</v>
      </c>
      <c r="H86" s="19">
        <v>13.6</v>
      </c>
      <c r="I86" s="19"/>
      <c r="J86" s="19" t="s">
        <v>148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41451</v>
      </c>
      <c r="R86" s="20">
        <v>41451</v>
      </c>
    </row>
    <row r="87" spans="1:18" ht="14.25">
      <c r="A87" s="17">
        <v>2013</v>
      </c>
      <c r="B87" s="18" t="s">
        <v>453</v>
      </c>
      <c r="C87" s="18" t="s">
        <v>454</v>
      </c>
      <c r="D87" s="19">
        <v>223000</v>
      </c>
      <c r="E87" s="19">
        <v>0</v>
      </c>
      <c r="F87" s="19"/>
      <c r="G87" s="19">
        <v>660</v>
      </c>
      <c r="H87" s="19">
        <v>12</v>
      </c>
      <c r="I87" s="19"/>
      <c r="J87" s="19" t="s">
        <v>121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41451</v>
      </c>
      <c r="R87" s="20">
        <v>41451</v>
      </c>
    </row>
    <row r="88" spans="1:18" ht="14.25">
      <c r="A88" s="17">
        <v>2013</v>
      </c>
      <c r="B88" s="18" t="s">
        <v>453</v>
      </c>
      <c r="C88" s="18" t="s">
        <v>454</v>
      </c>
      <c r="D88" s="19">
        <v>223000</v>
      </c>
      <c r="E88" s="19">
        <v>0</v>
      </c>
      <c r="F88" s="19"/>
      <c r="G88" s="19">
        <v>470</v>
      </c>
      <c r="H88" s="19">
        <v>9.3</v>
      </c>
      <c r="I88" s="19" t="s">
        <v>459</v>
      </c>
      <c r="J88" s="19" t="s">
        <v>467</v>
      </c>
      <c r="K88" s="19" t="b">
        <v>1</v>
      </c>
      <c r="L88" s="15">
        <v>2013</v>
      </c>
      <c r="M88" s="16">
        <v>0.0609</v>
      </c>
      <c r="N88" s="16">
        <v>0.0623</v>
      </c>
      <c r="O88" s="16">
        <v>0.0622</v>
      </c>
      <c r="P88" s="16">
        <v>0.061</v>
      </c>
      <c r="Q88" s="20">
        <v>41451</v>
      </c>
      <c r="R88" s="20">
        <v>41451</v>
      </c>
    </row>
    <row r="89" spans="1:18" ht="14.25">
      <c r="A89" s="17">
        <v>2013</v>
      </c>
      <c r="B89" s="18" t="s">
        <v>453</v>
      </c>
      <c r="C89" s="18" t="s">
        <v>454</v>
      </c>
      <c r="D89" s="19">
        <v>223000</v>
      </c>
      <c r="E89" s="19">
        <v>0</v>
      </c>
      <c r="F89" s="19"/>
      <c r="G89" s="19">
        <v>930</v>
      </c>
      <c r="H89" s="19" t="s">
        <v>158</v>
      </c>
      <c r="I89" s="19"/>
      <c r="J89" s="19" t="s">
        <v>159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41451</v>
      </c>
      <c r="R89" s="20">
        <v>41451</v>
      </c>
    </row>
    <row r="90" spans="1:18" ht="14.25">
      <c r="A90" s="17">
        <v>2013</v>
      </c>
      <c r="B90" s="18" t="s">
        <v>453</v>
      </c>
      <c r="C90" s="18" t="s">
        <v>454</v>
      </c>
      <c r="D90" s="19">
        <v>223000</v>
      </c>
      <c r="E90" s="19">
        <v>0</v>
      </c>
      <c r="F90" s="19"/>
      <c r="G90" s="19">
        <v>480</v>
      </c>
      <c r="H90" s="19">
        <v>9.4</v>
      </c>
      <c r="I90" s="19" t="s">
        <v>461</v>
      </c>
      <c r="J90" s="19" t="s">
        <v>97</v>
      </c>
      <c r="K90" s="19" t="b">
        <v>0</v>
      </c>
      <c r="L90" s="15">
        <v>2013</v>
      </c>
      <c r="M90" s="16">
        <v>0.0609</v>
      </c>
      <c r="N90" s="16">
        <v>0.0623</v>
      </c>
      <c r="O90" s="16">
        <v>0.0622</v>
      </c>
      <c r="P90" s="16">
        <v>0.061</v>
      </c>
      <c r="Q90" s="20">
        <v>41451</v>
      </c>
      <c r="R90" s="20">
        <v>41451</v>
      </c>
    </row>
    <row r="91" spans="1:18" ht="14.25">
      <c r="A91" s="17">
        <v>2013</v>
      </c>
      <c r="B91" s="18" t="s">
        <v>453</v>
      </c>
      <c r="C91" s="18" t="s">
        <v>454</v>
      </c>
      <c r="D91" s="19">
        <v>223000</v>
      </c>
      <c r="E91" s="19">
        <v>0</v>
      </c>
      <c r="F91" s="19"/>
      <c r="G91" s="19">
        <v>540</v>
      </c>
      <c r="H91" s="19" t="s">
        <v>106</v>
      </c>
      <c r="I91" s="19" t="s">
        <v>460</v>
      </c>
      <c r="J91" s="19" t="s">
        <v>107</v>
      </c>
      <c r="K91" s="19" t="b">
        <v>0</v>
      </c>
      <c r="L91" s="15">
        <v>2013</v>
      </c>
      <c r="M91" s="16">
        <v>0.0609</v>
      </c>
      <c r="N91" s="16">
        <v>0.0623</v>
      </c>
      <c r="O91" s="16">
        <v>0.0622</v>
      </c>
      <c r="P91" s="16">
        <v>0.061</v>
      </c>
      <c r="Q91" s="20">
        <v>41451</v>
      </c>
      <c r="R91" s="20">
        <v>41451</v>
      </c>
    </row>
    <row r="92" spans="1:18" ht="14.25">
      <c r="A92" s="17">
        <v>2013</v>
      </c>
      <c r="B92" s="18" t="s">
        <v>453</v>
      </c>
      <c r="C92" s="18" t="s">
        <v>454</v>
      </c>
      <c r="D92" s="19">
        <v>223000</v>
      </c>
      <c r="E92" s="19">
        <v>0</v>
      </c>
      <c r="F92" s="19"/>
      <c r="G92" s="19">
        <v>760</v>
      </c>
      <c r="H92" s="19">
        <v>12.4</v>
      </c>
      <c r="I92" s="19"/>
      <c r="J92" s="19" t="s">
        <v>137</v>
      </c>
      <c r="K92" s="19" t="b">
        <v>1</v>
      </c>
      <c r="L92" s="15">
        <v>2013</v>
      </c>
      <c r="M92" s="16">
        <v>6452498</v>
      </c>
      <c r="N92" s="16">
        <v>4142285</v>
      </c>
      <c r="O92" s="16">
        <v>518899</v>
      </c>
      <c r="P92" s="16">
        <v>502864</v>
      </c>
      <c r="Q92" s="20">
        <v>41451</v>
      </c>
      <c r="R92" s="20">
        <v>41451</v>
      </c>
    </row>
    <row r="93" spans="1:18" ht="14.25">
      <c r="A93" s="17">
        <v>2013</v>
      </c>
      <c r="B93" s="18" t="s">
        <v>453</v>
      </c>
      <c r="C93" s="18" t="s">
        <v>454</v>
      </c>
      <c r="D93" s="19">
        <v>223000</v>
      </c>
      <c r="E93" s="19">
        <v>0</v>
      </c>
      <c r="F93" s="19"/>
      <c r="G93" s="19">
        <v>190</v>
      </c>
      <c r="H93" s="19">
        <v>2.2</v>
      </c>
      <c r="I93" s="19"/>
      <c r="J93" s="19" t="s">
        <v>69</v>
      </c>
      <c r="K93" s="19" t="b">
        <v>0</v>
      </c>
      <c r="L93" s="15">
        <v>2013</v>
      </c>
      <c r="M93" s="16">
        <v>7273395</v>
      </c>
      <c r="N93" s="16">
        <v>6543393</v>
      </c>
      <c r="O93" s="16">
        <v>25210690</v>
      </c>
      <c r="P93" s="16">
        <v>23906641</v>
      </c>
      <c r="Q93" s="20">
        <v>41451</v>
      </c>
      <c r="R93" s="20">
        <v>41451</v>
      </c>
    </row>
    <row r="94" spans="1:18" ht="14.25">
      <c r="A94" s="17">
        <v>2013</v>
      </c>
      <c r="B94" s="18" t="s">
        <v>453</v>
      </c>
      <c r="C94" s="18" t="s">
        <v>454</v>
      </c>
      <c r="D94" s="19">
        <v>223000</v>
      </c>
      <c r="E94" s="19">
        <v>0</v>
      </c>
      <c r="F94" s="19"/>
      <c r="G94" s="19">
        <v>40</v>
      </c>
      <c r="H94" s="19" t="s">
        <v>43</v>
      </c>
      <c r="I94" s="19"/>
      <c r="J94" s="19" t="s">
        <v>44</v>
      </c>
      <c r="K94" s="19" t="b">
        <v>1</v>
      </c>
      <c r="L94" s="15">
        <v>2013</v>
      </c>
      <c r="M94" s="16">
        <v>1618865</v>
      </c>
      <c r="N94" s="16">
        <v>2112970</v>
      </c>
      <c r="O94" s="16">
        <v>1799724</v>
      </c>
      <c r="P94" s="16">
        <v>2480871</v>
      </c>
      <c r="Q94" s="20">
        <v>41451</v>
      </c>
      <c r="R94" s="20">
        <v>41451</v>
      </c>
    </row>
    <row r="95" spans="1:18" ht="14.25">
      <c r="A95" s="17">
        <v>2013</v>
      </c>
      <c r="B95" s="18" t="s">
        <v>453</v>
      </c>
      <c r="C95" s="18" t="s">
        <v>454</v>
      </c>
      <c r="D95" s="19">
        <v>223000</v>
      </c>
      <c r="E95" s="19">
        <v>0</v>
      </c>
      <c r="F95" s="19"/>
      <c r="G95" s="19">
        <v>510</v>
      </c>
      <c r="H95" s="19">
        <v>9.7</v>
      </c>
      <c r="I95" s="19"/>
      <c r="J95" s="19" t="s">
        <v>473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41451</v>
      </c>
      <c r="R95" s="20">
        <v>41451</v>
      </c>
    </row>
    <row r="96" spans="1:18" ht="14.25">
      <c r="A96" s="17">
        <v>2013</v>
      </c>
      <c r="B96" s="18" t="s">
        <v>453</v>
      </c>
      <c r="C96" s="18" t="s">
        <v>454</v>
      </c>
      <c r="D96" s="19">
        <v>223000</v>
      </c>
      <c r="E96" s="19">
        <v>0</v>
      </c>
      <c r="F96" s="19"/>
      <c r="G96" s="19">
        <v>505</v>
      </c>
      <c r="H96" s="19" t="s">
        <v>100</v>
      </c>
      <c r="I96" s="19" t="s">
        <v>464</v>
      </c>
      <c r="J96" s="19" t="s">
        <v>101</v>
      </c>
      <c r="K96" s="19" t="b">
        <v>0</v>
      </c>
      <c r="L96" s="15">
        <v>2013</v>
      </c>
      <c r="M96" s="16">
        <v>0.048</v>
      </c>
      <c r="N96" s="16">
        <v>0.0271</v>
      </c>
      <c r="O96" s="16">
        <v>0.1251</v>
      </c>
      <c r="P96" s="16">
        <v>0.185</v>
      </c>
      <c r="Q96" s="20">
        <v>41451</v>
      </c>
      <c r="R96" s="20">
        <v>41451</v>
      </c>
    </row>
    <row r="97" spans="1:18" ht="14.25">
      <c r="A97" s="17">
        <v>2013</v>
      </c>
      <c r="B97" s="18" t="s">
        <v>453</v>
      </c>
      <c r="C97" s="18" t="s">
        <v>454</v>
      </c>
      <c r="D97" s="19">
        <v>223000</v>
      </c>
      <c r="E97" s="19">
        <v>0</v>
      </c>
      <c r="F97" s="19"/>
      <c r="G97" s="19">
        <v>140</v>
      </c>
      <c r="H97" s="19" t="s">
        <v>59</v>
      </c>
      <c r="I97" s="19"/>
      <c r="J97" s="19" t="s">
        <v>60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41451</v>
      </c>
      <c r="R97" s="20">
        <v>41451</v>
      </c>
    </row>
    <row r="98" spans="1:18" ht="14.25">
      <c r="A98" s="17">
        <v>2013</v>
      </c>
      <c r="B98" s="18" t="s">
        <v>453</v>
      </c>
      <c r="C98" s="18" t="s">
        <v>454</v>
      </c>
      <c r="D98" s="19">
        <v>223000</v>
      </c>
      <c r="E98" s="19">
        <v>0</v>
      </c>
      <c r="F98" s="19"/>
      <c r="G98" s="19">
        <v>740</v>
      </c>
      <c r="H98" s="19" t="s">
        <v>133</v>
      </c>
      <c r="I98" s="19"/>
      <c r="J98" s="19" t="s">
        <v>134</v>
      </c>
      <c r="K98" s="19" t="b">
        <v>0</v>
      </c>
      <c r="L98" s="15">
        <v>2013</v>
      </c>
      <c r="M98" s="16">
        <v>279664</v>
      </c>
      <c r="N98" s="16">
        <v>177123</v>
      </c>
      <c r="O98" s="16">
        <v>650400</v>
      </c>
      <c r="P98" s="16">
        <v>531009</v>
      </c>
      <c r="Q98" s="20">
        <v>41451</v>
      </c>
      <c r="R98" s="20">
        <v>41451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ESZ</cp:lastModifiedBy>
  <cp:lastPrinted>2013-06-26T11:09:22Z</cp:lastPrinted>
  <dcterms:created xsi:type="dcterms:W3CDTF">2010-09-17T02:30:46Z</dcterms:created>
  <dcterms:modified xsi:type="dcterms:W3CDTF">2013-06-26T11:10:05Z</dcterms:modified>
  <cp:category/>
  <cp:version/>
  <cp:contentType/>
  <cp:contentStatus/>
</cp:coreProperties>
</file>