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<sst xmlns="http://schemas.openxmlformats.org/spreadsheetml/2006/main" count="2417" uniqueCount="225">
  <si>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</si>
  <si>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</si>
  <si>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</si>
  <si>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</si>
  <si>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</si>
  <si>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</si>
  <si>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</si>
  <si>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</si>
  <si>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</si>
  <si>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</si>
  <si>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</si>
  <si>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</si>
  <si>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</si>
  <si>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</si>
  <si>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</si>
  <si>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</si>
  <si>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</si>
  <si>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</si>
  <si>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</si>
  <si>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</si>
  <si>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</si>
  <si>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</si>
  <si>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</si>
  <si>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</si>
  <si>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</si>
  <si>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</si>
  <si>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</si>
  <si>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</si>
  <si>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</si>
  <si>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</si>
  <si>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</si>
  <si>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</si>
  <si>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</si>
  <si>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</si>
  <si>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</si>
  <si>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</si>
  <si>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</si>
  <si>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</si>
  <si>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</si>
  <si>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</si>
  <si>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</si>
  <si>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</si>
  <si>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</si>
  <si>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</si>
  <si>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</si>
  <si>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</si>
  <si>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</si>
  <si>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</si>
  <si>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</si>
  <si>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</si>
  <si>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</si>
  <si>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</si>
  <si>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</si>
  <si>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</si>
  <si>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</si>
  <si>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</si>
  <si>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</si>
  <si>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</si>
  <si>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</si>
  <si>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</si>
  <si>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</si>
  <si>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</si>
  <si>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</si>
  <si>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</si>
  <si>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</si>
  <si>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</si>
  <si>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</si>
  <si>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</si>
  <si>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</si>
  <si>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</si>
  <si>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</si>
  <si>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</si>
  <si>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</si>
  <si>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</si>
  <si>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</si>
  <si>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</si>
  <si>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</si>
  <si>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</si>
  <si>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</si>
  <si>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</si>
  <si>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</si>
  <si>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</si>
  <si>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</si>
  <si>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</si>
  <si>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</si>
  <si>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</si>
  <si>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</si>
  <si>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</si>
  <si>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</si>
  <si>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</si>
  <si>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</si>
  <si>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</si>
  <si>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</si>
  <si>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</si>
  <si>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</si>
  <si>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</si>
  <si>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</si>
  <si>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</si>
  <si>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</si>
  <si>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</si>
  <si>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</si>
  <si>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</si>
  <si>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</si>
  <si>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</si>
  <si>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</si>
  <si>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</si>
  <si>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</si>
  <si>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</si>
  <si>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</si>
  <si>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</si>
  <si>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</si>
  <si>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</si>
  <si>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</si>
  <si>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</si>
  <si>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</si>
  <si>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</si>
  <si>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</si>
  <si>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</si>
  <si>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</si>
  <si>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</si>
  <si>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</si>
  <si>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</si>
  <si>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</si>
  <si>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</si>
  <si>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</si>
  <si>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</si>
  <si>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</si>
  <si>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</si>
  <si>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</si>
  <si>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</si>
  <si>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</si>
  <si>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</si>
  <si>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</si>
  <si>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</si>
  <si>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</si>
  <si>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</si>
  <si>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</si>
  <si>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</si>
  <si>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</si>
  <si>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</si>
  <si>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</si>
  <si>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</si>
  <si>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</si>
  <si>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</si>
  <si>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</si>
  <si>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</si>
  <si>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</si>
  <si>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</si>
  <si>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</si>
  <si>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</si>
  <si>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</si>
  <si>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</si>
  <si>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</si>
  <si>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</si>
  <si>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</si>
  <si>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</si>
  <si>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</si>
  <si>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</si>
  <si>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</si>
  <si>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</si>
  <si>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</si>
  <si>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</si>
  <si>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</si>
  <si>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</si>
  <si>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</si>
  <si>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</si>
  <si>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</si>
  <si>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</si>
  <si>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</si>
  <si>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</si>
  <si>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</si>
  <si>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</si>
  <si>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</si>
  <si>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</si>
  <si>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</si>
  <si>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</si>
  <si>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</si>
  <si>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</si>
  <si>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</si>
  <si>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</si>
  <si>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</si>
  <si>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</si>
  <si>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</si>
  <si>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</si>
  <si>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</si>
  <si>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</si>
  <si>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</si>
  <si>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</si>
  <si>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</si>
  <si>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</si>
  <si>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</si>
  <si>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</si>
  <si>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</si>
  <si>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</si>
  <si>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</si>
  <si>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</si>
  <si>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</si>
  <si>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</si>
  <si>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Uch. RPW</t>
  </si>
  <si>
    <t>wrocławski</t>
  </si>
  <si>
    <t>[10]+[24]</t>
  </si>
  <si>
    <t>[7a]+[8]</t>
  </si>
  <si>
    <t xml:space="preserve"> ([1a]-[24]+[1c])/[1]</t>
  </si>
  <si>
    <t>[2]+[7b]</t>
  </si>
  <si>
    <t>[20a]-[22]</t>
  </si>
  <si>
    <t>[7a]+[7b]</t>
  </si>
  <si>
    <t>[1a]+[1b]</t>
  </si>
  <si>
    <t>([7a]+[7b1]+[2c])/[1]</t>
  </si>
  <si>
    <t>([7a]+[7b1]+[2c]-[2d]-[7a1])/[1]</t>
  </si>
  <si>
    <t>[20a]-[21]</t>
  </si>
  <si>
    <t>[20]</t>
  </si>
  <si>
    <t>[3]+[4]+[5]</t>
  </si>
  <si>
    <t>([13]-[14])/[1]</t>
  </si>
  <si>
    <t>([7a]+[7b1]+[2c]+[15])/[1]</t>
  </si>
  <si>
    <t>([13])/[1]</t>
  </si>
  <si>
    <t>[1a]</t>
  </si>
  <si>
    <t>[23]-[24]</t>
  </si>
  <si>
    <t>[1]-[2]</t>
  </si>
  <si>
    <t>[26]-[27]</t>
  </si>
  <si>
    <t>([7a]+[7b1]+[2c]+[15]-[2d]-[7a1])/[1]</t>
  </si>
  <si>
    <t>[1]</t>
  </si>
  <si>
    <t>[6]-[7]-[8]</t>
  </si>
  <si>
    <t>[4]+[5]+[11]</t>
  </si>
  <si>
    <t>Nadwyżka budżetowa z lat ubiegłych plus wolne środki, o których mowa w art. 217 ust. 2 pkt 6 ufp, angażowane w budżecie roku bieżącego</t>
  </si>
  <si>
    <t xml:space="preserve">Załącznik Nr 1 do uchwały Rady Powiatu Wrocławskiego Nr XII/93/12 z dnia 19 kwietnia 2012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</si>
</sst>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tabSelected="1" zoomScaleSheetLayoutView="100" zoomScalePageLayoutView="0" workbookViewId="0" topLeftCell="A1">
      <selection activeCell="B5" sqref="B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7" width="11.59765625" style="1" customWidth="1"/>
    <col min="18" max="41" width="11.59765625" style="1" hidden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Uch. RPW</v>
      </c>
      <c r="D1" s="22" t="str">
        <f>C2&amp;" - "&amp;"WPF za lata "&amp;C3&amp;" - Nr Uchwały JST: "&amp;C1</f>
        <v>(223000) - wrocławski - WPF za lata 2012-2026 - Nr Uchwały JST: Uch. RPW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(223000) - wrocławski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2012-2026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8" t="s">
        <v>224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88681084</v>
      </c>
      <c r="D6" s="68">
        <f aca="true" t="shared" si="0" ref="D6:AD6">+D7+D9</f>
        <v>90274501</v>
      </c>
      <c r="E6" s="68">
        <f t="shared" si="0"/>
        <v>93189679</v>
      </c>
      <c r="F6" s="68">
        <f t="shared" si="0"/>
        <v>81075408</v>
      </c>
      <c r="G6" s="68">
        <f t="shared" si="0"/>
        <v>77516470</v>
      </c>
      <c r="H6" s="68">
        <f t="shared" si="0"/>
        <v>78455313</v>
      </c>
      <c r="I6" s="68">
        <f t="shared" si="0"/>
        <v>79349468</v>
      </c>
      <c r="J6" s="68">
        <f t="shared" si="0"/>
        <v>79840975</v>
      </c>
      <c r="K6" s="68">
        <f t="shared" si="0"/>
        <v>80780681</v>
      </c>
      <c r="L6" s="68">
        <f t="shared" si="0"/>
        <v>81721748</v>
      </c>
      <c r="M6" s="68">
        <f t="shared" si="0"/>
        <v>82313281</v>
      </c>
      <c r="N6" s="68">
        <f t="shared" si="0"/>
        <v>83279531</v>
      </c>
      <c r="O6" s="68">
        <f t="shared" si="0"/>
        <v>84245781</v>
      </c>
      <c r="P6" s="68">
        <f t="shared" si="0"/>
        <v>85160000</v>
      </c>
      <c r="Q6" s="68">
        <f t="shared" si="0"/>
        <v>86160000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75996925</v>
      </c>
      <c r="D7" s="71">
        <f>+Zal_1_WPF_wg_przeplywow!D8</f>
        <v>72198315</v>
      </c>
      <c r="E7" s="71">
        <f>+Zal_1_WPF_wg_przeplywow!E8</f>
        <v>73069757</v>
      </c>
      <c r="F7" s="71">
        <f>+Zal_1_WPF_wg_przeplywow!F8</f>
        <v>74915408</v>
      </c>
      <c r="G7" s="71">
        <f>+Zal_1_WPF_wg_przeplywow!G8</f>
        <v>75856470</v>
      </c>
      <c r="H7" s="71">
        <f>+Zal_1_WPF_wg_przeplywow!H8</f>
        <v>76795313</v>
      </c>
      <c r="I7" s="71">
        <f>+Zal_1_WPF_wg_przeplywow!I8</f>
        <v>77689468</v>
      </c>
      <c r="J7" s="71">
        <f>+Zal_1_WPF_wg_przeplywow!J8</f>
        <v>78680975</v>
      </c>
      <c r="K7" s="71">
        <f>+Zal_1_WPF_wg_przeplywow!K8</f>
        <v>79620681</v>
      </c>
      <c r="L7" s="71">
        <f>+Zal_1_WPF_wg_przeplywow!L8</f>
        <v>80561748</v>
      </c>
      <c r="M7" s="71">
        <f>+Zal_1_WPF_wg_przeplywow!M8</f>
        <v>81153281</v>
      </c>
      <c r="N7" s="71">
        <f>+Zal_1_WPF_wg_przeplywow!N8</f>
        <v>82119531</v>
      </c>
      <c r="O7" s="71">
        <f>+Zal_1_WPF_wg_przeplywow!O8</f>
        <v>83085781</v>
      </c>
      <c r="P7" s="71">
        <f>+Zal_1_WPF_wg_przeplywow!P8</f>
        <v>84000000</v>
      </c>
      <c r="Q7" s="71">
        <f>+Zal_1_WPF_wg_przeplywow!Q8</f>
        <v>85000000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458280</v>
      </c>
      <c r="D8" s="71">
        <f>+Zal_1_WPF_wg_przeplywow!D9</f>
        <v>143073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12684159</v>
      </c>
      <c r="D9" s="71">
        <f>+Zal_1_WPF_wg_przeplywow!D10</f>
        <v>18076186</v>
      </c>
      <c r="E9" s="71">
        <f>+Zal_1_WPF_wg_przeplywow!E10</f>
        <v>20119922</v>
      </c>
      <c r="F9" s="71">
        <f>+Zal_1_WPF_wg_przeplywow!F10</f>
        <v>6160000</v>
      </c>
      <c r="G9" s="71">
        <f>+Zal_1_WPF_wg_przeplywow!G10</f>
        <v>1660000</v>
      </c>
      <c r="H9" s="71">
        <f>+Zal_1_WPF_wg_przeplywow!H10</f>
        <v>1660000</v>
      </c>
      <c r="I9" s="71">
        <f>+Zal_1_WPF_wg_przeplywow!I10</f>
        <v>1660000</v>
      </c>
      <c r="J9" s="71">
        <f>+Zal_1_WPF_wg_przeplywow!J10</f>
        <v>1160000</v>
      </c>
      <c r="K9" s="71">
        <f>+Zal_1_WPF_wg_przeplywow!K10</f>
        <v>1160000</v>
      </c>
      <c r="L9" s="71">
        <f>+Zal_1_WPF_wg_przeplywow!L10</f>
        <v>1160000</v>
      </c>
      <c r="M9" s="71">
        <f>+Zal_1_WPF_wg_przeplywow!M10</f>
        <v>1160000</v>
      </c>
      <c r="N9" s="71">
        <f>+Zal_1_WPF_wg_przeplywow!N10</f>
        <v>1160000</v>
      </c>
      <c r="O9" s="71">
        <f>+Zal_1_WPF_wg_przeplywow!O10</f>
        <v>1160000</v>
      </c>
      <c r="P9" s="71">
        <f>+Zal_1_WPF_wg_przeplywow!P10</f>
        <v>1160000</v>
      </c>
      <c r="Q9" s="71">
        <f>+Zal_1_WPF_wg_przeplywow!Q10</f>
        <v>1160000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11240603</v>
      </c>
      <c r="D10" s="71">
        <f>+Zal_1_WPF_wg_przeplywow!D11</f>
        <v>17819913</v>
      </c>
      <c r="E10" s="71">
        <f>+Zal_1_WPF_wg_przeplywow!E11</f>
        <v>20119922</v>
      </c>
      <c r="F10" s="71">
        <f>+Zal_1_WPF_wg_przeplywow!F11</f>
        <v>6160000</v>
      </c>
      <c r="G10" s="71">
        <f>+Zal_1_WPF_wg_przeplywow!G11</f>
        <v>1660000</v>
      </c>
      <c r="H10" s="71">
        <f>+Zal_1_WPF_wg_przeplywow!H11</f>
        <v>1660000</v>
      </c>
      <c r="I10" s="71">
        <f>+Zal_1_WPF_wg_przeplywow!I11</f>
        <v>1660000</v>
      </c>
      <c r="J10" s="71">
        <f>+Zal_1_WPF_wg_przeplywow!J11</f>
        <v>1160000</v>
      </c>
      <c r="K10" s="71">
        <f>+Zal_1_WPF_wg_przeplywow!K11</f>
        <v>1160000</v>
      </c>
      <c r="L10" s="71">
        <f>+Zal_1_WPF_wg_przeplywow!L11</f>
        <v>1160000</v>
      </c>
      <c r="M10" s="71">
        <f>+Zal_1_WPF_wg_przeplywow!M11</f>
        <v>1160000</v>
      </c>
      <c r="N10" s="71">
        <f>+Zal_1_WPF_wg_przeplywow!N11</f>
        <v>1160000</v>
      </c>
      <c r="O10" s="71">
        <f>+Zal_1_WPF_wg_przeplywow!O11</f>
        <v>1160000</v>
      </c>
      <c r="P10" s="71">
        <f>+Zal_1_WPF_wg_przeplywow!P11</f>
        <v>1160000</v>
      </c>
      <c r="Q10" s="71">
        <f>+Zal_1_WPF_wg_przeplywow!Q11</f>
        <v>1160000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443556</v>
      </c>
      <c r="D11" s="85">
        <f>+Zal_1_WPF_wg_przeplywow!D12</f>
        <v>256273</v>
      </c>
      <c r="E11" s="85">
        <f>+Zal_1_WPF_wg_przeplywow!E12</f>
        <v>0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99801884</v>
      </c>
      <c r="D12" s="68">
        <f aca="true" t="shared" si="2" ref="D12:AD12">+D13+D20</f>
        <v>85954588</v>
      </c>
      <c r="E12" s="68">
        <f t="shared" si="2"/>
        <v>88869757</v>
      </c>
      <c r="F12" s="68">
        <f t="shared" si="2"/>
        <v>78573675</v>
      </c>
      <c r="G12" s="68">
        <f t="shared" si="2"/>
        <v>75014737</v>
      </c>
      <c r="H12" s="68">
        <f t="shared" si="2"/>
        <v>75953580</v>
      </c>
      <c r="I12" s="68">
        <f t="shared" si="2"/>
        <v>76847735</v>
      </c>
      <c r="J12" s="68">
        <f t="shared" si="2"/>
        <v>77339242</v>
      </c>
      <c r="K12" s="68">
        <f t="shared" si="2"/>
        <v>78278948</v>
      </c>
      <c r="L12" s="68">
        <f t="shared" si="2"/>
        <v>79220017</v>
      </c>
      <c r="M12" s="68">
        <f t="shared" si="2"/>
        <v>80158813</v>
      </c>
      <c r="N12" s="68">
        <f t="shared" si="2"/>
        <v>81125063</v>
      </c>
      <c r="O12" s="68">
        <f t="shared" si="2"/>
        <v>82091321</v>
      </c>
      <c r="P12" s="68">
        <f t="shared" si="2"/>
        <v>84660000</v>
      </c>
      <c r="Q12" s="68">
        <f t="shared" si="2"/>
        <v>85660000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75761925</v>
      </c>
      <c r="D13" s="75">
        <f aca="true" t="shared" si="4" ref="D13:AD13">+D14+D18</f>
        <v>72198315</v>
      </c>
      <c r="E13" s="75">
        <f t="shared" si="4"/>
        <v>73069757</v>
      </c>
      <c r="F13" s="75">
        <f t="shared" si="4"/>
        <v>72913675</v>
      </c>
      <c r="G13" s="75">
        <f t="shared" si="4"/>
        <v>73854737</v>
      </c>
      <c r="H13" s="75">
        <f t="shared" si="4"/>
        <v>74793580</v>
      </c>
      <c r="I13" s="75">
        <f t="shared" si="4"/>
        <v>75687735</v>
      </c>
      <c r="J13" s="75">
        <f t="shared" si="4"/>
        <v>76679242</v>
      </c>
      <c r="K13" s="75">
        <f t="shared" si="4"/>
        <v>77618948</v>
      </c>
      <c r="L13" s="75">
        <f t="shared" si="4"/>
        <v>78560017</v>
      </c>
      <c r="M13" s="75">
        <f t="shared" si="4"/>
        <v>79498813</v>
      </c>
      <c r="N13" s="75">
        <f t="shared" si="4"/>
        <v>80465063</v>
      </c>
      <c r="O13" s="75">
        <f t="shared" si="4"/>
        <v>81431321</v>
      </c>
      <c r="P13" s="75">
        <f t="shared" si="4"/>
        <v>84000000</v>
      </c>
      <c r="Q13" s="75">
        <f t="shared" si="4"/>
        <v>85000000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73981925</v>
      </c>
      <c r="D14" s="75">
        <f>+Zal_1_WPF_wg_przeplywow!D13</f>
        <v>70443071</v>
      </c>
      <c r="E14" s="75">
        <f>+Zal_1_WPF_wg_przeplywow!E13</f>
        <v>71535245</v>
      </c>
      <c r="F14" s="75">
        <f>+Zal_1_WPF_wg_przeplywow!F13</f>
        <v>71563174</v>
      </c>
      <c r="G14" s="75">
        <f>+Zal_1_WPF_wg_przeplywow!G13</f>
        <v>72645085</v>
      </c>
      <c r="H14" s="75">
        <f>+Zal_1_WPF_wg_przeplywow!H13</f>
        <v>73724981</v>
      </c>
      <c r="I14" s="75">
        <f>+Zal_1_WPF_wg_przeplywow!I13</f>
        <v>74760074</v>
      </c>
      <c r="J14" s="75">
        <f>+Zal_1_WPF_wg_przeplywow!J13</f>
        <v>75892528</v>
      </c>
      <c r="K14" s="75">
        <f>+Zal_1_WPF_wg_przeplywow!K13</f>
        <v>76973090</v>
      </c>
      <c r="L14" s="75">
        <f>+Zal_1_WPF_wg_przeplywow!L13</f>
        <v>78055204</v>
      </c>
      <c r="M14" s="75">
        <f>+Zal_1_WPF_wg_przeplywow!M13</f>
        <v>79137162</v>
      </c>
      <c r="N14" s="75">
        <f>+Zal_1_WPF_wg_przeplywow!N13</f>
        <v>80226444</v>
      </c>
      <c r="O14" s="75">
        <f>+Zal_1_WPF_wg_przeplywow!O13</f>
        <v>81293764</v>
      </c>
      <c r="P14" s="75">
        <f>+Zal_1_WPF_wg_przeplywow!P13</f>
        <v>83947969</v>
      </c>
      <c r="Q14" s="75">
        <f>+Zal_1_WPF_wg_przeplywow!Q13</f>
        <v>84981719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539153</v>
      </c>
      <c r="D15" s="75">
        <f>+Zal_1_WPF_wg_przeplywow!D19</f>
        <v>168320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1780000</v>
      </c>
      <c r="D18" s="71">
        <f>+Zal_1_WPF_wg_przeplywow!D29</f>
        <v>1755244</v>
      </c>
      <c r="E18" s="71">
        <f>+Zal_1_WPF_wg_przeplywow!E29</f>
        <v>1534512</v>
      </c>
      <c r="F18" s="71">
        <f>+Zal_1_WPF_wg_przeplywow!F29</f>
        <v>1350501</v>
      </c>
      <c r="G18" s="71">
        <f>+Zal_1_WPF_wg_przeplywow!G29</f>
        <v>1209652</v>
      </c>
      <c r="H18" s="71">
        <f>+Zal_1_WPF_wg_przeplywow!H29</f>
        <v>1068599</v>
      </c>
      <c r="I18" s="71">
        <f>+Zal_1_WPF_wg_przeplywow!I29</f>
        <v>927661</v>
      </c>
      <c r="J18" s="71">
        <f>+Zal_1_WPF_wg_przeplywow!J29</f>
        <v>786714</v>
      </c>
      <c r="K18" s="71">
        <f>+Zal_1_WPF_wg_przeplywow!K29</f>
        <v>645858</v>
      </c>
      <c r="L18" s="71">
        <f>+Zal_1_WPF_wg_przeplywow!L29</f>
        <v>504813</v>
      </c>
      <c r="M18" s="71">
        <f>+Zal_1_WPF_wg_przeplywow!M29</f>
        <v>361651</v>
      </c>
      <c r="N18" s="71">
        <f>+Zal_1_WPF_wg_przeplywow!N29</f>
        <v>238619</v>
      </c>
      <c r="O18" s="71">
        <f>+Zal_1_WPF_wg_przeplywow!O29</f>
        <v>137557</v>
      </c>
      <c r="P18" s="71">
        <f>+Zal_1_WPF_wg_przeplywow!P29</f>
        <v>52031</v>
      </c>
      <c r="Q18" s="71">
        <f>+Zal_1_WPF_wg_przeplywow!Q29</f>
        <v>18281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168</v>
      </c>
      <c r="C19" s="71">
        <f>+Zal_1_WPF_wg_przeplywow!C30</f>
        <v>1780000</v>
      </c>
      <c r="D19" s="71">
        <f>+Zal_1_WPF_wg_przeplywow!D30</f>
        <v>1755244</v>
      </c>
      <c r="E19" s="71">
        <f>+Zal_1_WPF_wg_przeplywow!E30</f>
        <v>1534512</v>
      </c>
      <c r="F19" s="71">
        <f>+Zal_1_WPF_wg_przeplywow!F30</f>
        <v>1350501</v>
      </c>
      <c r="G19" s="71">
        <f>+Zal_1_WPF_wg_przeplywow!G30</f>
        <v>1209652</v>
      </c>
      <c r="H19" s="71">
        <f>+Zal_1_WPF_wg_przeplywow!H30</f>
        <v>1068599</v>
      </c>
      <c r="I19" s="71">
        <f>+Zal_1_WPF_wg_przeplywow!I30</f>
        <v>927661</v>
      </c>
      <c r="J19" s="71">
        <f>+Zal_1_WPF_wg_przeplywow!J30</f>
        <v>786714</v>
      </c>
      <c r="K19" s="71">
        <f>+Zal_1_WPF_wg_przeplywow!K30</f>
        <v>645858</v>
      </c>
      <c r="L19" s="71">
        <f>+Zal_1_WPF_wg_przeplywow!L30</f>
        <v>504813</v>
      </c>
      <c r="M19" s="71">
        <f>+Zal_1_WPF_wg_przeplywow!M30</f>
        <v>361651</v>
      </c>
      <c r="N19" s="71">
        <f>+Zal_1_WPF_wg_przeplywow!N30</f>
        <v>238619</v>
      </c>
      <c r="O19" s="71">
        <f>+Zal_1_WPF_wg_przeplywow!O30</f>
        <v>137557</v>
      </c>
      <c r="P19" s="71">
        <f>+Zal_1_WPF_wg_przeplywow!P30</f>
        <v>52031</v>
      </c>
      <c r="Q19" s="71">
        <f>+Zal_1_WPF_wg_przeplywow!Q30</f>
        <v>18281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24039959</v>
      </c>
      <c r="D20" s="75">
        <f>+Zal_1_WPF_wg_przeplywow!D33</f>
        <v>13756273</v>
      </c>
      <c r="E20" s="75">
        <f>+Zal_1_WPF_wg_przeplywow!E33</f>
        <v>15800000</v>
      </c>
      <c r="F20" s="75">
        <f>+Zal_1_WPF_wg_przeplywow!F33</f>
        <v>5660000</v>
      </c>
      <c r="G20" s="75">
        <f>+Zal_1_WPF_wg_przeplywow!G33</f>
        <v>1160000</v>
      </c>
      <c r="H20" s="75">
        <f>+Zal_1_WPF_wg_przeplywow!H33</f>
        <v>1160000</v>
      </c>
      <c r="I20" s="75">
        <f>+Zal_1_WPF_wg_przeplywow!I33</f>
        <v>1160000</v>
      </c>
      <c r="J20" s="75">
        <f>+Zal_1_WPF_wg_przeplywow!J33</f>
        <v>660000</v>
      </c>
      <c r="K20" s="75">
        <f>+Zal_1_WPF_wg_przeplywow!K33</f>
        <v>660000</v>
      </c>
      <c r="L20" s="75">
        <f>+Zal_1_WPF_wg_przeplywow!L33</f>
        <v>660000</v>
      </c>
      <c r="M20" s="75">
        <f>+Zal_1_WPF_wg_przeplywow!M33</f>
        <v>660000</v>
      </c>
      <c r="N20" s="75">
        <f>+Zal_1_WPF_wg_przeplywow!N33</f>
        <v>660000</v>
      </c>
      <c r="O20" s="75">
        <f>+Zal_1_WPF_wg_przeplywow!O33</f>
        <v>660000</v>
      </c>
      <c r="P20" s="75">
        <f>+Zal_1_WPF_wg_przeplywow!P33</f>
        <v>660000</v>
      </c>
      <c r="Q20" s="75">
        <f>+Zal_1_WPF_wg_przeplywow!Q33</f>
        <v>660000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443556</v>
      </c>
      <c r="D21" s="88">
        <f>+Zal_1_WPF_wg_przeplywow!D35</f>
        <v>256273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-11120800</v>
      </c>
      <c r="D22" s="58">
        <f aca="true" t="shared" si="6" ref="D22:AD22">+D6-D12</f>
        <v>4319913</v>
      </c>
      <c r="E22" s="58">
        <f t="shared" si="6"/>
        <v>4319922</v>
      </c>
      <c r="F22" s="58">
        <f t="shared" si="6"/>
        <v>2501733</v>
      </c>
      <c r="G22" s="58">
        <f t="shared" si="6"/>
        <v>2501733</v>
      </c>
      <c r="H22" s="58">
        <f t="shared" si="6"/>
        <v>2501733</v>
      </c>
      <c r="I22" s="58">
        <f t="shared" si="6"/>
        <v>2501733</v>
      </c>
      <c r="J22" s="58">
        <f t="shared" si="6"/>
        <v>2501733</v>
      </c>
      <c r="K22" s="58">
        <f t="shared" si="6"/>
        <v>2501733</v>
      </c>
      <c r="L22" s="58">
        <f t="shared" si="6"/>
        <v>2501731</v>
      </c>
      <c r="M22" s="58">
        <f t="shared" si="6"/>
        <v>2154468</v>
      </c>
      <c r="N22" s="58">
        <f t="shared" si="6"/>
        <v>2154468</v>
      </c>
      <c r="O22" s="58">
        <f t="shared" si="6"/>
        <v>2154460</v>
      </c>
      <c r="P22" s="58">
        <f t="shared" si="6"/>
        <v>500000</v>
      </c>
      <c r="Q22" s="58">
        <f t="shared" si="6"/>
        <v>500000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9" t="s">
        <v>8</v>
      </c>
      <c r="B23" s="180" t="s">
        <v>49</v>
      </c>
      <c r="C23" s="68">
        <f>+C7-C13</f>
        <v>235000</v>
      </c>
      <c r="D23" s="68">
        <f aca="true" t="shared" si="8" ref="D23:AD23">+D7-D13</f>
        <v>0</v>
      </c>
      <c r="E23" s="68">
        <f t="shared" si="8"/>
        <v>0</v>
      </c>
      <c r="F23" s="68">
        <f t="shared" si="8"/>
        <v>2001733</v>
      </c>
      <c r="G23" s="68">
        <f t="shared" si="8"/>
        <v>2001733</v>
      </c>
      <c r="H23" s="68">
        <f t="shared" si="8"/>
        <v>2001733</v>
      </c>
      <c r="I23" s="68">
        <f t="shared" si="8"/>
        <v>2001733</v>
      </c>
      <c r="J23" s="68">
        <f t="shared" si="8"/>
        <v>2001733</v>
      </c>
      <c r="K23" s="68">
        <f t="shared" si="8"/>
        <v>2001733</v>
      </c>
      <c r="L23" s="68">
        <f t="shared" si="8"/>
        <v>2001731</v>
      </c>
      <c r="M23" s="68">
        <f t="shared" si="8"/>
        <v>1654468</v>
      </c>
      <c r="N23" s="68">
        <f t="shared" si="8"/>
        <v>1654468</v>
      </c>
      <c r="O23" s="68">
        <f t="shared" si="8"/>
        <v>1654460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1"/>
      <c r="B24" s="182" t="s">
        <v>195</v>
      </c>
      <c r="C24" s="88">
        <f>+C9-C20</f>
        <v>-11355800</v>
      </c>
      <c r="D24" s="88">
        <f aca="true" t="shared" si="10" ref="D24:AO24">+D9-D20</f>
        <v>4319913</v>
      </c>
      <c r="E24" s="88">
        <f t="shared" si="10"/>
        <v>4319922</v>
      </c>
      <c r="F24" s="88">
        <f t="shared" si="10"/>
        <v>500000</v>
      </c>
      <c r="G24" s="88">
        <f t="shared" si="10"/>
        <v>500000</v>
      </c>
      <c r="H24" s="88">
        <f t="shared" si="10"/>
        <v>500000</v>
      </c>
      <c r="I24" s="88">
        <f t="shared" si="10"/>
        <v>500000</v>
      </c>
      <c r="J24" s="88">
        <f t="shared" si="10"/>
        <v>500000</v>
      </c>
      <c r="K24" s="88">
        <f t="shared" si="10"/>
        <v>500000</v>
      </c>
      <c r="L24" s="88">
        <f t="shared" si="10"/>
        <v>500000</v>
      </c>
      <c r="M24" s="88">
        <f t="shared" si="10"/>
        <v>500000</v>
      </c>
      <c r="N24" s="88">
        <f t="shared" si="10"/>
        <v>500000</v>
      </c>
      <c r="O24" s="88">
        <f t="shared" si="10"/>
        <v>500000</v>
      </c>
      <c r="P24" s="88">
        <f t="shared" si="10"/>
        <v>500000</v>
      </c>
      <c r="Q24" s="88">
        <f t="shared" si="10"/>
        <v>500000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14940713</v>
      </c>
      <c r="D25" s="68">
        <f aca="true" t="shared" si="11" ref="D25:AD25">+D26+D28+D30</f>
        <v>0</v>
      </c>
      <c r="E25" s="68">
        <f t="shared" si="11"/>
        <v>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62</v>
      </c>
      <c r="C26" s="75">
        <f>+Zal_1_WPF_wg_przeplywow!C21</f>
        <v>7940713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4120800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7000000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7000000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3819913</v>
      </c>
      <c r="D32" s="68">
        <f aca="true" t="shared" si="13" ref="D32:AD32">+D33+D35</f>
        <v>4319913</v>
      </c>
      <c r="E32" s="68">
        <f t="shared" si="13"/>
        <v>4319922</v>
      </c>
      <c r="F32" s="68">
        <f t="shared" si="13"/>
        <v>2501733</v>
      </c>
      <c r="G32" s="68">
        <f t="shared" si="13"/>
        <v>2501733</v>
      </c>
      <c r="H32" s="68">
        <f t="shared" si="13"/>
        <v>2501733</v>
      </c>
      <c r="I32" s="68">
        <f t="shared" si="13"/>
        <v>2501733</v>
      </c>
      <c r="J32" s="68">
        <f t="shared" si="13"/>
        <v>2501733</v>
      </c>
      <c r="K32" s="68">
        <f t="shared" si="13"/>
        <v>2501733</v>
      </c>
      <c r="L32" s="68">
        <f t="shared" si="13"/>
        <v>2501731</v>
      </c>
      <c r="M32" s="68">
        <f t="shared" si="13"/>
        <v>2154468</v>
      </c>
      <c r="N32" s="68">
        <f t="shared" si="13"/>
        <v>2154468</v>
      </c>
      <c r="O32" s="68">
        <f t="shared" si="13"/>
        <v>2154460</v>
      </c>
      <c r="P32" s="68">
        <f t="shared" si="13"/>
        <v>500000</v>
      </c>
      <c r="Q32" s="68">
        <f t="shared" si="13"/>
        <v>500000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3819913</v>
      </c>
      <c r="D33" s="71">
        <f>+Zal_1_WPF_wg_przeplywow!D27</f>
        <v>4319913</v>
      </c>
      <c r="E33" s="71">
        <f>+Zal_1_WPF_wg_przeplywow!E27</f>
        <v>4319922</v>
      </c>
      <c r="F33" s="71">
        <f>+Zal_1_WPF_wg_przeplywow!F27</f>
        <v>2501733</v>
      </c>
      <c r="G33" s="71">
        <f>+Zal_1_WPF_wg_przeplywow!G27</f>
        <v>2501733</v>
      </c>
      <c r="H33" s="71">
        <f>+Zal_1_WPF_wg_przeplywow!H27</f>
        <v>2501733</v>
      </c>
      <c r="I33" s="71">
        <f>+Zal_1_WPF_wg_przeplywow!I27</f>
        <v>2501733</v>
      </c>
      <c r="J33" s="71">
        <f>+Zal_1_WPF_wg_przeplywow!J27</f>
        <v>2501733</v>
      </c>
      <c r="K33" s="71">
        <f>+Zal_1_WPF_wg_przeplywow!K27</f>
        <v>2501733</v>
      </c>
      <c r="L33" s="71">
        <f>+Zal_1_WPF_wg_przeplywow!L27</f>
        <v>2501731</v>
      </c>
      <c r="M33" s="71">
        <f>+Zal_1_WPF_wg_przeplywow!M27</f>
        <v>2154468</v>
      </c>
      <c r="N33" s="71">
        <f>+Zal_1_WPF_wg_przeplywow!N27</f>
        <v>2154468</v>
      </c>
      <c r="O33" s="71">
        <f>+Zal_1_WPF_wg_przeplywow!O27</f>
        <v>2154460</v>
      </c>
      <c r="P33" s="71">
        <f>+Zal_1_WPF_wg_przeplywow!P27</f>
        <v>500000</v>
      </c>
      <c r="Q33" s="71">
        <f>+Zal_1_WPF_wg_przeplywow!Q27</f>
        <v>500000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41615360</v>
      </c>
      <c r="D36" s="68">
        <f>+Zal_1_WPF_wg_przeplywow!D39</f>
        <v>34795447</v>
      </c>
      <c r="E36" s="68">
        <f>+Zal_1_WPF_wg_przeplywow!E39</f>
        <v>27975525</v>
      </c>
      <c r="F36" s="68">
        <f>+Zal_1_WPF_wg_przeplywow!F39</f>
        <v>22473792</v>
      </c>
      <c r="G36" s="68">
        <f>+Zal_1_WPF_wg_przeplywow!G39</f>
        <v>19972059</v>
      </c>
      <c r="H36" s="68">
        <f>+Zal_1_WPF_wg_przeplywow!H39</f>
        <v>17470326</v>
      </c>
      <c r="I36" s="68">
        <f>+Zal_1_WPF_wg_przeplywow!I39</f>
        <v>14968593</v>
      </c>
      <c r="J36" s="68">
        <f>+Zal_1_WPF_wg_przeplywow!J39</f>
        <v>12466860</v>
      </c>
      <c r="K36" s="68">
        <f>+Zal_1_WPF_wg_przeplywow!K39</f>
        <v>9965127</v>
      </c>
      <c r="L36" s="68">
        <f>+Zal_1_WPF_wg_przeplywow!L39</f>
        <v>7463396</v>
      </c>
      <c r="M36" s="68">
        <f>+Zal_1_WPF_wg_przeplywow!M39</f>
        <v>5308928</v>
      </c>
      <c r="N36" s="68">
        <f>+Zal_1_WPF_wg_przeplywow!N39</f>
        <v>3154460</v>
      </c>
      <c r="O36" s="68">
        <f>+Zal_1_WPF_wg_przeplywow!O39</f>
        <v>1000000</v>
      </c>
      <c r="P36" s="68">
        <f>+Zal_1_WPF_wg_przeplywow!P39</f>
        <v>500000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8000000</v>
      </c>
      <c r="D37" s="88">
        <f>+Zal_1_WPF_wg_przeplywow!D40</f>
        <v>5500000</v>
      </c>
      <c r="E37" s="88">
        <f>+Zal_1_WPF_wg_przeplywow!E40</f>
        <v>3000000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0.4693</v>
      </c>
      <c r="D39" s="90">
        <f>+Zal_1_WPF_wg_przeplywow!D46</f>
        <v>0.3854</v>
      </c>
      <c r="E39" s="90">
        <f aca="true" t="shared" si="15" ref="E39:AD39">+IF(E6&lt;&gt;0,E36/E6,"")</f>
        <v>0.30019982148452296</v>
      </c>
      <c r="F39" s="90">
        <f t="shared" si="15"/>
        <v>0.2771961628611231</v>
      </c>
      <c r="G39" s="90">
        <f t="shared" si="15"/>
        <v>0.2576492324792396</v>
      </c>
      <c r="H39" s="90">
        <f t="shared" si="15"/>
        <v>0.22267868589090964</v>
      </c>
      <c r="I39" s="90">
        <f t="shared" si="15"/>
        <v>0.18864137816273702</v>
      </c>
      <c r="J39" s="90">
        <f t="shared" si="15"/>
        <v>0.15614613924742277</v>
      </c>
      <c r="K39" s="90">
        <f t="shared" si="15"/>
        <v>0.12336027471716907</v>
      </c>
      <c r="L39" s="90">
        <f t="shared" si="15"/>
        <v>0.09132692560614342</v>
      </c>
      <c r="M39" s="90">
        <f t="shared" si="15"/>
        <v>0.06449661507235994</v>
      </c>
      <c r="N39" s="90">
        <f t="shared" si="15"/>
        <v>0.037877975081295784</v>
      </c>
      <c r="O39" s="90">
        <f t="shared" si="15"/>
        <v>0.011870030619100082</v>
      </c>
      <c r="P39" s="90">
        <f t="shared" si="15"/>
        <v>0.0058713010803193985</v>
      </c>
      <c r="Q39" s="90">
        <f t="shared" si="15"/>
        <v>0</v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0.4693</v>
      </c>
      <c r="D40" s="80">
        <f>+Zal_1_WPF_wg_przeplywow!D47</f>
        <v>0.3854</v>
      </c>
      <c r="E40" s="80">
        <f aca="true" t="shared" si="17" ref="E40:AD40">+IF(E6&lt;&gt;0,(E36-E38)/E6,"")</f>
        <v>0.30019982148452296</v>
      </c>
      <c r="F40" s="80">
        <f t="shared" si="17"/>
        <v>0.2771961628611231</v>
      </c>
      <c r="G40" s="80">
        <f t="shared" si="17"/>
        <v>0.2576492324792396</v>
      </c>
      <c r="H40" s="80">
        <f t="shared" si="17"/>
        <v>0.22267868589090964</v>
      </c>
      <c r="I40" s="80">
        <f t="shared" si="17"/>
        <v>0.18864137816273702</v>
      </c>
      <c r="J40" s="80">
        <f t="shared" si="17"/>
        <v>0.15614613924742277</v>
      </c>
      <c r="K40" s="80">
        <f t="shared" si="17"/>
        <v>0.12336027471716907</v>
      </c>
      <c r="L40" s="80">
        <f t="shared" si="17"/>
        <v>0.09132692560614342</v>
      </c>
      <c r="M40" s="80">
        <f t="shared" si="17"/>
        <v>0.06449661507235994</v>
      </c>
      <c r="N40" s="80">
        <f t="shared" si="17"/>
        <v>0.037877975081295784</v>
      </c>
      <c r="O40" s="80">
        <f t="shared" si="17"/>
        <v>0.011870030619100082</v>
      </c>
      <c r="P40" s="80">
        <f t="shared" si="17"/>
        <v>0.0058713010803193985</v>
      </c>
      <c r="Q40" s="80">
        <f t="shared" si="17"/>
        <v>0</v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0.0631</v>
      </c>
      <c r="D41" s="80">
        <f>+Zal_1_WPF_wg_przeplywow!D48</f>
        <v>0.0673</v>
      </c>
      <c r="E41" s="80">
        <f aca="true" t="shared" si="19" ref="E41:AD41">+IF(E6&lt;&gt;0,(E19+E16+E33)/E6,"")</f>
        <v>0.06282277246603672</v>
      </c>
      <c r="F41" s="80">
        <f t="shared" si="19"/>
        <v>0.047514210474278465</v>
      </c>
      <c r="G41" s="80">
        <f t="shared" si="19"/>
        <v>0.04787866372140011</v>
      </c>
      <c r="H41" s="80">
        <f t="shared" si="19"/>
        <v>0.0455078421521306</v>
      </c>
      <c r="I41" s="80">
        <f t="shared" si="19"/>
        <v>0.04321886568918143</v>
      </c>
      <c r="J41" s="80">
        <f t="shared" si="19"/>
        <v>0.04118746044872323</v>
      </c>
      <c r="K41" s="80">
        <f t="shared" si="19"/>
        <v>0.038964650471317516</v>
      </c>
      <c r="L41" s="80">
        <f t="shared" si="19"/>
        <v>0.03679001090382942</v>
      </c>
      <c r="M41" s="80">
        <f t="shared" si="19"/>
        <v>0.03056759455378774</v>
      </c>
      <c r="N41" s="80">
        <f t="shared" si="19"/>
        <v>0.028735596505700782</v>
      </c>
      <c r="O41" s="80">
        <f t="shared" si="19"/>
        <v>0.027206311969497916</v>
      </c>
      <c r="P41" s="80">
        <f t="shared" si="19"/>
        <v>0.006482280413339596</v>
      </c>
      <c r="Q41" s="80">
        <f t="shared" si="19"/>
        <v>0.006015331940575673</v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0.0631</v>
      </c>
      <c r="D42" s="92">
        <f>+Zal_1_WPF_wg_przeplywow!D49</f>
        <v>0.0673</v>
      </c>
      <c r="E42" s="92">
        <f aca="true" t="shared" si="21" ref="E42:AD42">+IF(E6&lt;&gt;0,(E19+E16+E33-E17-E34)/E6,"")</f>
        <v>0.06282277246603672</v>
      </c>
      <c r="F42" s="92">
        <f t="shared" si="21"/>
        <v>0.047514210474278465</v>
      </c>
      <c r="G42" s="92">
        <f t="shared" si="21"/>
        <v>0.04787866372140011</v>
      </c>
      <c r="H42" s="92">
        <f t="shared" si="21"/>
        <v>0.0455078421521306</v>
      </c>
      <c r="I42" s="92">
        <f t="shared" si="21"/>
        <v>0.04321886568918143</v>
      </c>
      <c r="J42" s="92">
        <f t="shared" si="21"/>
        <v>0.04118746044872323</v>
      </c>
      <c r="K42" s="92">
        <f t="shared" si="21"/>
        <v>0.038964650471317516</v>
      </c>
      <c r="L42" s="92">
        <f t="shared" si="21"/>
        <v>0.03679001090382942</v>
      </c>
      <c r="M42" s="92">
        <f t="shared" si="21"/>
        <v>0.03056759455378774</v>
      </c>
      <c r="N42" s="92">
        <f t="shared" si="21"/>
        <v>0.028735596505700782</v>
      </c>
      <c r="O42" s="92">
        <f t="shared" si="21"/>
        <v>0.027206311969497916</v>
      </c>
      <c r="P42" s="92">
        <f t="shared" si="21"/>
        <v>0.006482280413339596</v>
      </c>
      <c r="Q42" s="92">
        <f t="shared" si="21"/>
        <v>0.006015331940575673</v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0.0914</v>
      </c>
      <c r="D44" s="90">
        <f>+Zal_1_WPF_wg_przeplywow!D51</f>
        <v>0.0679</v>
      </c>
      <c r="E44" s="90">
        <f>+Zal_1_WPF_wg_przeplywow!E51</f>
        <v>0.1177</v>
      </c>
      <c r="F44" s="90">
        <f>+Zal_1_WPF_wg_przeplywow!F51</f>
        <v>0.1809</v>
      </c>
      <c r="G44" s="90">
        <f>+Zal_1_WPF_wg_przeplywow!G51</f>
        <v>0.1713</v>
      </c>
      <c r="H44" s="90">
        <f>+Zal_1_WPF_wg_przeplywow!H51</f>
        <v>0.1213</v>
      </c>
      <c r="I44" s="90">
        <f>+Zal_1_WPF_wg_przeplywow!I51</f>
        <v>0.0649</v>
      </c>
      <c r="J44" s="90">
        <f>+Zal_1_WPF_wg_przeplywow!J51</f>
        <v>0.0467</v>
      </c>
      <c r="K44" s="90">
        <f>+Zal_1_WPF_wg_przeplywow!K51</f>
        <v>0.0441</v>
      </c>
      <c r="L44" s="90">
        <f>+Zal_1_WPF_wg_przeplywow!L51</f>
        <v>0.0416</v>
      </c>
      <c r="M44" s="90">
        <f>+Zal_1_WPF_wg_przeplywow!M51</f>
        <v>0.0391</v>
      </c>
      <c r="N44" s="90">
        <f>+Zal_1_WPF_wg_przeplywow!N51</f>
        <v>0.0373</v>
      </c>
      <c r="O44" s="90">
        <f>+Zal_1_WPF_wg_przeplywow!O51</f>
        <v>0.0356</v>
      </c>
      <c r="P44" s="90">
        <f>+Zal_1_WPF_wg_przeplywow!P51</f>
        <v>0.0338</v>
      </c>
      <c r="Q44" s="90">
        <f>+Zal_1_WPF_wg_przeplywow!Q51</f>
        <v>0.0269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0.1294</v>
      </c>
      <c r="D45" s="80">
        <f>+Zal_1_WPF_wg_przeplywow!D50</f>
        <v>0.1974</v>
      </c>
      <c r="E45" s="80">
        <f>+Zal_1_WPF_wg_przeplywow!E50</f>
        <v>0.2159</v>
      </c>
      <c r="F45" s="80">
        <f>+Zal_1_WPF_wg_przeplywow!F50</f>
        <v>0.1007</v>
      </c>
      <c r="G45" s="80">
        <f>+Zal_1_WPF_wg_przeplywow!G50</f>
        <v>0.0472</v>
      </c>
      <c r="H45" s="80">
        <f>+Zal_1_WPF_wg_przeplywow!H50</f>
        <v>0.0467</v>
      </c>
      <c r="I45" s="80">
        <f>+Zal_1_WPF_wg_przeplywow!I50</f>
        <v>0.0461</v>
      </c>
      <c r="J45" s="80">
        <f>+Zal_1_WPF_wg_przeplywow!J50</f>
        <v>0.0396</v>
      </c>
      <c r="K45" s="80">
        <f>+Zal_1_WPF_wg_przeplywow!K50</f>
        <v>0.0391</v>
      </c>
      <c r="L45" s="80">
        <f>+Zal_1_WPF_wg_przeplywow!L50</f>
        <v>0.0387</v>
      </c>
      <c r="M45" s="80">
        <f>+Zal_1_WPF_wg_przeplywow!M50</f>
        <v>0.0342</v>
      </c>
      <c r="N45" s="80">
        <f>+Zal_1_WPF_wg_przeplywow!N50</f>
        <v>0.0338</v>
      </c>
      <c r="O45" s="80">
        <f>+Zal_1_WPF_wg_przeplywow!O50</f>
        <v>0.0334</v>
      </c>
      <c r="P45" s="80">
        <f>+Zal_1_WPF_wg_przeplywow!P50</f>
        <v>0.0136</v>
      </c>
      <c r="Q45" s="80">
        <f>+Zal_1_WPF_wg_przeplywow!Q50</f>
        <v>0.0135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0.0631</v>
      </c>
      <c r="D46" s="80">
        <f>+Zal_1_WPF_wg_przeplywow!D52</f>
        <v>0.0673</v>
      </c>
      <c r="E46" s="80">
        <f>+Zal_1_WPF_wg_przeplywow!E52</f>
        <v>0.0628</v>
      </c>
      <c r="F46" s="80">
        <f>+Zal_1_WPF_wg_przeplywow!F52</f>
        <v>0.0475</v>
      </c>
      <c r="G46" s="80">
        <f>+Zal_1_WPF_wg_przeplywow!G52</f>
        <v>0.0479</v>
      </c>
      <c r="H46" s="80">
        <f>+Zal_1_WPF_wg_przeplywow!H52</f>
        <v>0.0455</v>
      </c>
      <c r="I46" s="80">
        <f>+Zal_1_WPF_wg_przeplywow!I52</f>
        <v>0.0432</v>
      </c>
      <c r="J46" s="80">
        <f>+Zal_1_WPF_wg_przeplywow!J52</f>
        <v>0.0412</v>
      </c>
      <c r="K46" s="80">
        <f>+Zal_1_WPF_wg_przeplywow!K52</f>
        <v>0.039</v>
      </c>
      <c r="L46" s="80">
        <f>+Zal_1_WPF_wg_przeplywow!L52</f>
        <v>0.0368</v>
      </c>
      <c r="M46" s="80">
        <f>+Zal_1_WPF_wg_przeplywow!M52</f>
        <v>0.0306</v>
      </c>
      <c r="N46" s="80">
        <f>+Zal_1_WPF_wg_przeplywow!N52</f>
        <v>0.0287</v>
      </c>
      <c r="O46" s="80">
        <f>+Zal_1_WPF_wg_przeplywow!O52</f>
        <v>0.0272</v>
      </c>
      <c r="P46" s="80">
        <f>+Zal_1_WPF_wg_przeplywow!P52</f>
        <v>0.0065</v>
      </c>
      <c r="Q46" s="80">
        <f>+Zal_1_WPF_wg_przeplywow!Q52</f>
        <v>0.006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Spełnia 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0.0631</v>
      </c>
      <c r="D48" s="80">
        <f>+Zal_1_WPF_wg_przeplywow!D54</f>
        <v>0.0673</v>
      </c>
      <c r="E48" s="80">
        <f>+Zal_1_WPF_wg_przeplywow!E54</f>
        <v>0.0628</v>
      </c>
      <c r="F48" s="80">
        <f>+Zal_1_WPF_wg_przeplywow!F54</f>
        <v>0.0475</v>
      </c>
      <c r="G48" s="80">
        <f>+Zal_1_WPF_wg_przeplywow!G54</f>
        <v>0.0479</v>
      </c>
      <c r="H48" s="80">
        <f>+Zal_1_WPF_wg_przeplywow!H54</f>
        <v>0.0455</v>
      </c>
      <c r="I48" s="80">
        <f>+Zal_1_WPF_wg_przeplywow!I54</f>
        <v>0.0432</v>
      </c>
      <c r="J48" s="80">
        <f>+Zal_1_WPF_wg_przeplywow!J54</f>
        <v>0.0412</v>
      </c>
      <c r="K48" s="80">
        <f>+Zal_1_WPF_wg_przeplywow!K54</f>
        <v>0.039</v>
      </c>
      <c r="L48" s="80">
        <f>+Zal_1_WPF_wg_przeplywow!L54</f>
        <v>0.0368</v>
      </c>
      <c r="M48" s="80">
        <f>+Zal_1_WPF_wg_przeplywow!M54</f>
        <v>0.0306</v>
      </c>
      <c r="N48" s="80">
        <f>+Zal_1_WPF_wg_przeplywow!N54</f>
        <v>0.0287</v>
      </c>
      <c r="O48" s="80">
        <f>+Zal_1_WPF_wg_przeplywow!O54</f>
        <v>0.0272</v>
      </c>
      <c r="P48" s="80">
        <f>+Zal_1_WPF_wg_przeplywow!P54</f>
        <v>0.0065</v>
      </c>
      <c r="Q48" s="80">
        <f>+Zal_1_WPF_wg_przeplywow!Q54</f>
        <v>0.006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28690542</v>
      </c>
      <c r="D51" s="71">
        <f>+Zal_1_WPF_wg_przeplywow!D14</f>
        <v>28900000</v>
      </c>
      <c r="E51" s="71">
        <f>+Zal_1_WPF_wg_przeplywow!E14</f>
        <v>29500000</v>
      </c>
      <c r="F51" s="71">
        <f>+Zal_1_WPF_wg_przeplywow!F14</f>
        <v>30100000</v>
      </c>
      <c r="G51" s="71">
        <f>+Zal_1_WPF_wg_przeplywow!G14</f>
        <v>30600000</v>
      </c>
      <c r="H51" s="71">
        <f>+Zal_1_WPF_wg_przeplywow!H14</f>
        <v>31200000</v>
      </c>
      <c r="I51" s="71">
        <f>+Zal_1_WPF_wg_przeplywow!I14</f>
        <v>31800000</v>
      </c>
      <c r="J51" s="71">
        <f>+Zal_1_WPF_wg_przeplywow!J14</f>
        <v>32400000</v>
      </c>
      <c r="K51" s="71">
        <f>+Zal_1_WPF_wg_przeplywow!K14</f>
        <v>33000000</v>
      </c>
      <c r="L51" s="71">
        <f>+Zal_1_WPF_wg_przeplywow!L14</f>
        <v>33600000</v>
      </c>
      <c r="M51" s="71">
        <f>+Zal_1_WPF_wg_przeplywow!M14</f>
        <v>34200000</v>
      </c>
      <c r="N51" s="71">
        <f>+Zal_1_WPF_wg_przeplywow!N14</f>
        <v>34800000</v>
      </c>
      <c r="O51" s="71">
        <f>+Zal_1_WPF_wg_przeplywow!O14</f>
        <v>35400000</v>
      </c>
      <c r="P51" s="71">
        <f>+Zal_1_WPF_wg_przeplywow!P14</f>
        <v>36000000</v>
      </c>
      <c r="Q51" s="71">
        <f>+Zal_1_WPF_wg_przeplywow!Q14</f>
        <v>36600000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11018343</v>
      </c>
      <c r="D52" s="71">
        <f>+Zal_1_WPF_wg_przeplywow!D15</f>
        <v>11200000</v>
      </c>
      <c r="E52" s="71">
        <f>+Zal_1_WPF_wg_przeplywow!E15</f>
        <v>11800000</v>
      </c>
      <c r="F52" s="71">
        <f>+Zal_1_WPF_wg_przeplywow!F15</f>
        <v>11900000</v>
      </c>
      <c r="G52" s="71">
        <f>+Zal_1_WPF_wg_przeplywow!G15</f>
        <v>12000000</v>
      </c>
      <c r="H52" s="71">
        <f>+Zal_1_WPF_wg_przeplywow!H15</f>
        <v>12100000</v>
      </c>
      <c r="I52" s="71">
        <f>+Zal_1_WPF_wg_przeplywow!I15</f>
        <v>12200000</v>
      </c>
      <c r="J52" s="71">
        <f>+Zal_1_WPF_wg_przeplywow!J15</f>
        <v>12300000</v>
      </c>
      <c r="K52" s="71">
        <f>+Zal_1_WPF_wg_przeplywow!K15</f>
        <v>12400000</v>
      </c>
      <c r="L52" s="71">
        <f>+Zal_1_WPF_wg_przeplywow!L15</f>
        <v>12500000</v>
      </c>
      <c r="M52" s="71">
        <f>+Zal_1_WPF_wg_przeplywow!M15</f>
        <v>12600000</v>
      </c>
      <c r="N52" s="71">
        <f>+Zal_1_WPF_wg_przeplywow!N15</f>
        <v>12700000</v>
      </c>
      <c r="O52" s="71">
        <f>+Zal_1_WPF_wg_przeplywow!O15</f>
        <v>12750000</v>
      </c>
      <c r="P52" s="71">
        <f>+Zal_1_WPF_wg_przeplywow!P15</f>
        <v>12850000</v>
      </c>
      <c r="Q52" s="71">
        <f>+Zal_1_WPF_wg_przeplywow!Q15</f>
        <v>13000000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950295</v>
      </c>
      <c r="D53" s="71">
        <f>+Zal_1_WPF_wg_przeplywow!D18</f>
        <v>355439</v>
      </c>
      <c r="E53" s="71">
        <f>+Zal_1_WPF_wg_przeplywow!E18</f>
        <v>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20600000</v>
      </c>
      <c r="D54" s="85">
        <f>+Zal_1_WPF_wg_przeplywow!D34</f>
        <v>13756273</v>
      </c>
      <c r="E54" s="85">
        <f>+Zal_1_WPF_wg_przeplywow!E34</f>
        <v>15800000</v>
      </c>
      <c r="F54" s="85">
        <f>+Zal_1_WPF_wg_przeplywow!F34</f>
        <v>5000000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164</v>
      </c>
      <c r="C55" s="58">
        <f>+Zal_1_WPF_wg_przeplywow!C43</f>
        <v>0</v>
      </c>
      <c r="D55" s="58">
        <f>+Zal_1_WPF_wg_przeplywow!D43</f>
        <v>4319913</v>
      </c>
      <c r="E55" s="58">
        <f>+Zal_1_WPF_wg_przeplywow!E43</f>
        <v>4319922</v>
      </c>
      <c r="F55" s="58">
        <f>+Zal_1_WPF_wg_przeplywow!F43</f>
        <v>2501733</v>
      </c>
      <c r="G55" s="58">
        <f>+Zal_1_WPF_wg_przeplywow!G43</f>
        <v>2501733</v>
      </c>
      <c r="H55" s="58">
        <f>+Zal_1_WPF_wg_przeplywow!H43</f>
        <v>2501733</v>
      </c>
      <c r="I55" s="58">
        <f>+Zal_1_WPF_wg_przeplywow!I43</f>
        <v>2501733</v>
      </c>
      <c r="J55" s="58">
        <f>+Zal_1_WPF_wg_przeplywow!J43</f>
        <v>2501733</v>
      </c>
      <c r="K55" s="58">
        <f>+Zal_1_WPF_wg_przeplywow!K43</f>
        <v>2501733</v>
      </c>
      <c r="L55" s="58">
        <f>+Zal_1_WPF_wg_przeplywow!L43</f>
        <v>2501731</v>
      </c>
      <c r="M55" s="58">
        <f>+Zal_1_WPF_wg_przeplywow!M43</f>
        <v>2154468</v>
      </c>
      <c r="N55" s="58">
        <f>+Zal_1_WPF_wg_przeplywow!N43</f>
        <v>2154468</v>
      </c>
      <c r="O55" s="58">
        <f>+Zal_1_WPF_wg_przeplywow!O43</f>
        <v>2154460</v>
      </c>
      <c r="P55" s="58">
        <f>+Zal_1_WPF_wg_przeplywow!P43</f>
        <v>500000</v>
      </c>
      <c r="Q55" s="58">
        <f>+Zal_1_WPF_wg_przeplywow!Q43</f>
        <v>500000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 hidden="1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 hidden="1">
      <c r="B60" s="46" t="s">
        <v>165</v>
      </c>
    </row>
    <row r="61" ht="12" hidden="1">
      <c r="B61" s="46"/>
    </row>
    <row r="62" ht="12" hidden="1"/>
    <row r="63" ht="12" hidden="1">
      <c r="B63" s="22" t="s">
        <v>184</v>
      </c>
    </row>
    <row r="64" ht="12" hidden="1">
      <c r="B64" s="163" t="s">
        <v>190</v>
      </c>
    </row>
    <row r="65" ht="12" hidden="1">
      <c r="B65" s="162" t="s">
        <v>191</v>
      </c>
    </row>
    <row r="66" ht="12" hidden="1"/>
    <row r="67" spans="2:41" ht="12" hidden="1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 hidden="1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22.5" hidden="1">
      <c r="B69" s="168" t="s">
        <v>192</v>
      </c>
      <c r="C69" s="167" t="str">
        <f>+IF(C22&gt;0,IF((C31+C29+C27)&gt;0,"Błąd","OK."),"nie dotyczy")</f>
        <v>nie dotyczy</v>
      </c>
      <c r="D69" s="167" t="str">
        <f aca="true" t="shared" si="28" ref="D69:AO69">+IF(D22&gt;0,IF((D31+D29+D27)&gt;0,"Błąd","OK."),"nie dotyczy")</f>
        <v>OK.</v>
      </c>
      <c r="E69" s="167" t="str">
        <f t="shared" si="28"/>
        <v>OK.</v>
      </c>
      <c r="F69" s="167" t="str">
        <f t="shared" si="28"/>
        <v>OK.</v>
      </c>
      <c r="G69" s="167" t="str">
        <f t="shared" si="28"/>
        <v>OK.</v>
      </c>
      <c r="H69" s="167" t="str">
        <f t="shared" si="28"/>
        <v>OK.</v>
      </c>
      <c r="I69" s="167" t="str">
        <f t="shared" si="28"/>
        <v>OK.</v>
      </c>
      <c r="J69" s="167" t="str">
        <f t="shared" si="28"/>
        <v>OK.</v>
      </c>
      <c r="K69" s="167" t="str">
        <f t="shared" si="28"/>
        <v>OK.</v>
      </c>
      <c r="L69" s="167" t="str">
        <f t="shared" si="28"/>
        <v>OK.</v>
      </c>
      <c r="M69" s="167" t="str">
        <f t="shared" si="28"/>
        <v>OK.</v>
      </c>
      <c r="N69" s="167" t="str">
        <f t="shared" si="28"/>
        <v>OK.</v>
      </c>
      <c r="O69" s="167" t="str">
        <f t="shared" si="28"/>
        <v>OK.</v>
      </c>
      <c r="P69" s="167" t="str">
        <f t="shared" si="28"/>
        <v>OK.</v>
      </c>
      <c r="Q69" s="167" t="str">
        <f t="shared" si="28"/>
        <v>OK.</v>
      </c>
      <c r="R69" s="167" t="str">
        <f t="shared" si="28"/>
        <v>nie dotyczy</v>
      </c>
      <c r="S69" s="167" t="str">
        <f t="shared" si="28"/>
        <v>nie dotyczy</v>
      </c>
      <c r="T69" s="167" t="str">
        <f t="shared" si="28"/>
        <v>nie dotyczy</v>
      </c>
      <c r="U69" s="167" t="str">
        <f t="shared" si="28"/>
        <v>nie dotyczy</v>
      </c>
      <c r="V69" s="167" t="str">
        <f t="shared" si="28"/>
        <v>nie dotyczy</v>
      </c>
      <c r="W69" s="167" t="str">
        <f t="shared" si="28"/>
        <v>nie dotyczy</v>
      </c>
      <c r="X69" s="167" t="str">
        <f t="shared" si="28"/>
        <v>nie dotyczy</v>
      </c>
      <c r="Y69" s="167" t="str">
        <f t="shared" si="28"/>
        <v>nie dotyczy</v>
      </c>
      <c r="Z69" s="167" t="str">
        <f t="shared" si="28"/>
        <v>nie dotyczy</v>
      </c>
      <c r="AA69" s="167" t="str">
        <f t="shared" si="28"/>
        <v>nie dotyczy</v>
      </c>
      <c r="AB69" s="167" t="str">
        <f t="shared" si="28"/>
        <v>nie dotyczy</v>
      </c>
      <c r="AC69" s="167" t="str">
        <f t="shared" si="28"/>
        <v>nie dotyczy</v>
      </c>
      <c r="AD69" s="167" t="str">
        <f t="shared" si="28"/>
        <v>nie dotyczy</v>
      </c>
      <c r="AE69" s="167" t="str">
        <f t="shared" si="28"/>
        <v>nie dotyczy</v>
      </c>
      <c r="AF69" s="167" t="str">
        <f t="shared" si="28"/>
        <v>nie dotyczy</v>
      </c>
      <c r="AG69" s="167" t="str">
        <f t="shared" si="28"/>
        <v>nie dotyczy</v>
      </c>
      <c r="AH69" s="167" t="str">
        <f t="shared" si="28"/>
        <v>nie dotyczy</v>
      </c>
      <c r="AI69" s="167" t="str">
        <f t="shared" si="28"/>
        <v>nie dotyczy</v>
      </c>
      <c r="AJ69" s="167" t="str">
        <f t="shared" si="28"/>
        <v>nie dotyczy</v>
      </c>
      <c r="AK69" s="167" t="str">
        <f t="shared" si="28"/>
        <v>nie dotyczy</v>
      </c>
      <c r="AL69" s="167" t="str">
        <f t="shared" si="28"/>
        <v>nie dotyczy</v>
      </c>
      <c r="AM69" s="167" t="str">
        <f t="shared" si="28"/>
        <v>nie dotyczy</v>
      </c>
      <c r="AN69" s="167" t="str">
        <f t="shared" si="28"/>
        <v>nie dotyczy</v>
      </c>
      <c r="AO69" s="167" t="str">
        <f t="shared" si="28"/>
        <v>nie dotyczy</v>
      </c>
    </row>
    <row r="70" spans="2:41" ht="22.5" hidden="1">
      <c r="B70" s="168" t="s">
        <v>175</v>
      </c>
      <c r="C70" s="167" t="str">
        <f>IF(C22&lt;=0,IF(ROUND((+C22+(C27+C29+C31)),4)=0,"OK.",+C22+(C27+C29+C31)),"nie dotyczy")</f>
        <v>OK.</v>
      </c>
      <c r="D70" s="167" t="str">
        <f aca="true" t="shared" si="29" ref="D70:AO70">IF(D22&lt;=0,IF(ROUND((+D22+(D27+D29+D31)),4)=0,"OK.",+D22+(D27+D29+D31)),"nie dotyczy")</f>
        <v>nie dotyczy</v>
      </c>
      <c r="E70" s="167" t="str">
        <f t="shared" si="29"/>
        <v>nie dotyczy</v>
      </c>
      <c r="F70" s="167" t="str">
        <f t="shared" si="29"/>
        <v>nie dotyczy</v>
      </c>
      <c r="G70" s="167" t="str">
        <f t="shared" si="29"/>
        <v>nie dotyczy</v>
      </c>
      <c r="H70" s="167" t="str">
        <f t="shared" si="29"/>
        <v>nie dotyczy</v>
      </c>
      <c r="I70" s="167" t="str">
        <f t="shared" si="29"/>
        <v>nie dotyczy</v>
      </c>
      <c r="J70" s="167" t="str">
        <f t="shared" si="29"/>
        <v>nie dotyczy</v>
      </c>
      <c r="K70" s="167" t="str">
        <f t="shared" si="29"/>
        <v>nie dotyczy</v>
      </c>
      <c r="L70" s="167" t="str">
        <f t="shared" si="29"/>
        <v>nie dotyczy</v>
      </c>
      <c r="M70" s="167" t="str">
        <f t="shared" si="29"/>
        <v>nie dotyczy</v>
      </c>
      <c r="N70" s="167" t="str">
        <f t="shared" si="29"/>
        <v>nie dotyczy</v>
      </c>
      <c r="O70" s="167" t="str">
        <f t="shared" si="29"/>
        <v>nie dotyczy</v>
      </c>
      <c r="P70" s="167" t="str">
        <f t="shared" si="29"/>
        <v>nie dotyczy</v>
      </c>
      <c r="Q70" s="167" t="str">
        <f t="shared" si="29"/>
        <v>nie dotyczy</v>
      </c>
      <c r="R70" s="167" t="str">
        <f t="shared" si="29"/>
        <v>OK.</v>
      </c>
      <c r="S70" s="167" t="str">
        <f t="shared" si="29"/>
        <v>OK.</v>
      </c>
      <c r="T70" s="167" t="str">
        <f t="shared" si="29"/>
        <v>OK.</v>
      </c>
      <c r="U70" s="167" t="str">
        <f t="shared" si="29"/>
        <v>OK.</v>
      </c>
      <c r="V70" s="167" t="str">
        <f t="shared" si="29"/>
        <v>OK.</v>
      </c>
      <c r="W70" s="167" t="str">
        <f t="shared" si="29"/>
        <v>OK.</v>
      </c>
      <c r="X70" s="167" t="str">
        <f t="shared" si="29"/>
        <v>OK.</v>
      </c>
      <c r="Y70" s="167" t="str">
        <f t="shared" si="29"/>
        <v>OK.</v>
      </c>
      <c r="Z70" s="167" t="str">
        <f t="shared" si="29"/>
        <v>OK.</v>
      </c>
      <c r="AA70" s="167" t="str">
        <f t="shared" si="29"/>
        <v>OK.</v>
      </c>
      <c r="AB70" s="167" t="str">
        <f t="shared" si="29"/>
        <v>OK.</v>
      </c>
      <c r="AC70" s="167" t="str">
        <f t="shared" si="29"/>
        <v>OK.</v>
      </c>
      <c r="AD70" s="167" t="str">
        <f t="shared" si="29"/>
        <v>OK.</v>
      </c>
      <c r="AE70" s="167" t="str">
        <f t="shared" si="29"/>
        <v>OK.</v>
      </c>
      <c r="AF70" s="167" t="str">
        <f t="shared" si="29"/>
        <v>OK.</v>
      </c>
      <c r="AG70" s="167" t="str">
        <f t="shared" si="29"/>
        <v>OK.</v>
      </c>
      <c r="AH70" s="167" t="str">
        <f t="shared" si="29"/>
        <v>OK.</v>
      </c>
      <c r="AI70" s="167" t="str">
        <f t="shared" si="29"/>
        <v>OK.</v>
      </c>
      <c r="AJ70" s="167" t="str">
        <f t="shared" si="29"/>
        <v>OK.</v>
      </c>
      <c r="AK70" s="167" t="str">
        <f t="shared" si="29"/>
        <v>OK.</v>
      </c>
      <c r="AL70" s="167" t="str">
        <f t="shared" si="29"/>
        <v>OK.</v>
      </c>
      <c r="AM70" s="167" t="str">
        <f t="shared" si="29"/>
        <v>OK.</v>
      </c>
      <c r="AN70" s="167" t="str">
        <f t="shared" si="29"/>
        <v>OK.</v>
      </c>
      <c r="AO70" s="167" t="str">
        <f t="shared" si="29"/>
        <v>OK.</v>
      </c>
    </row>
    <row r="71" spans="2:41" ht="24" hidden="1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12" hidden="1">
      <c r="B72" s="171" t="s">
        <v>194</v>
      </c>
      <c r="C72" s="170" t="str">
        <f>+IF(C26&lt;C27,"Brak pokrycia","OK.")</f>
        <v>OK.</v>
      </c>
      <c r="D72" s="170" t="str">
        <f aca="true" t="shared" si="30" ref="D72:AO72">+IF(D26&lt;D27,"Brak pokrycia","OK.")</f>
        <v>OK.</v>
      </c>
      <c r="E72" s="170" t="str">
        <f t="shared" si="30"/>
        <v>OK.</v>
      </c>
      <c r="F72" s="170" t="str">
        <f t="shared" si="30"/>
        <v>OK.</v>
      </c>
      <c r="G72" s="170" t="str">
        <f t="shared" si="30"/>
        <v>OK.</v>
      </c>
      <c r="H72" s="170" t="str">
        <f t="shared" si="30"/>
        <v>OK.</v>
      </c>
      <c r="I72" s="170" t="str">
        <f t="shared" si="30"/>
        <v>OK.</v>
      </c>
      <c r="J72" s="170" t="str">
        <f t="shared" si="30"/>
        <v>OK.</v>
      </c>
      <c r="K72" s="170" t="str">
        <f t="shared" si="30"/>
        <v>OK.</v>
      </c>
      <c r="L72" s="170" t="str">
        <f t="shared" si="30"/>
        <v>OK.</v>
      </c>
      <c r="M72" s="170" t="str">
        <f t="shared" si="30"/>
        <v>OK.</v>
      </c>
      <c r="N72" s="170" t="str">
        <f t="shared" si="30"/>
        <v>OK.</v>
      </c>
      <c r="O72" s="170" t="str">
        <f t="shared" si="30"/>
        <v>OK.</v>
      </c>
      <c r="P72" s="170" t="str">
        <f t="shared" si="30"/>
        <v>OK.</v>
      </c>
      <c r="Q72" s="170" t="str">
        <f t="shared" si="30"/>
        <v>OK.</v>
      </c>
      <c r="R72" s="170" t="str">
        <f t="shared" si="30"/>
        <v>OK.</v>
      </c>
      <c r="S72" s="170" t="str">
        <f t="shared" si="30"/>
        <v>OK.</v>
      </c>
      <c r="T72" s="170" t="str">
        <f t="shared" si="30"/>
        <v>OK.</v>
      </c>
      <c r="U72" s="170" t="str">
        <f t="shared" si="30"/>
        <v>OK.</v>
      </c>
      <c r="V72" s="170" t="str">
        <f t="shared" si="30"/>
        <v>OK.</v>
      </c>
      <c r="W72" s="170" t="str">
        <f t="shared" si="30"/>
        <v>OK.</v>
      </c>
      <c r="X72" s="170" t="str">
        <f t="shared" si="30"/>
        <v>OK.</v>
      </c>
      <c r="Y72" s="170" t="str">
        <f t="shared" si="30"/>
        <v>OK.</v>
      </c>
      <c r="Z72" s="170" t="str">
        <f t="shared" si="30"/>
        <v>OK.</v>
      </c>
      <c r="AA72" s="170" t="str">
        <f t="shared" si="30"/>
        <v>OK.</v>
      </c>
      <c r="AB72" s="170" t="str">
        <f t="shared" si="30"/>
        <v>OK.</v>
      </c>
      <c r="AC72" s="170" t="str">
        <f t="shared" si="30"/>
        <v>OK.</v>
      </c>
      <c r="AD72" s="170" t="str">
        <f t="shared" si="30"/>
        <v>OK.</v>
      </c>
      <c r="AE72" s="170" t="str">
        <f t="shared" si="30"/>
        <v>OK.</v>
      </c>
      <c r="AF72" s="170" t="str">
        <f t="shared" si="30"/>
        <v>OK.</v>
      </c>
      <c r="AG72" s="170" t="str">
        <f t="shared" si="30"/>
        <v>OK.</v>
      </c>
      <c r="AH72" s="170" t="str">
        <f t="shared" si="30"/>
        <v>OK.</v>
      </c>
      <c r="AI72" s="170" t="str">
        <f t="shared" si="30"/>
        <v>OK.</v>
      </c>
      <c r="AJ72" s="170" t="str">
        <f t="shared" si="30"/>
        <v>OK.</v>
      </c>
      <c r="AK72" s="170" t="str">
        <f t="shared" si="30"/>
        <v>OK.</v>
      </c>
      <c r="AL72" s="170" t="str">
        <f t="shared" si="30"/>
        <v>OK.</v>
      </c>
      <c r="AM72" s="170" t="str">
        <f t="shared" si="30"/>
        <v>OK.</v>
      </c>
      <c r="AN72" s="170" t="str">
        <f t="shared" si="30"/>
        <v>OK.</v>
      </c>
      <c r="AO72" s="170" t="str">
        <f t="shared" si="30"/>
        <v>OK.</v>
      </c>
    </row>
    <row r="73" spans="2:41" ht="12" hidden="1">
      <c r="B73" s="171" t="s">
        <v>174</v>
      </c>
      <c r="C73" s="170" t="str">
        <f aca="true" t="shared" si="31" ref="C73:AO73">+IF(C28&lt;C29,"Brak pokrycia","OK.")</f>
        <v>OK.</v>
      </c>
      <c r="D73" s="170" t="str">
        <f t="shared" si="31"/>
        <v>OK.</v>
      </c>
      <c r="E73" s="170" t="str">
        <f t="shared" si="31"/>
        <v>OK.</v>
      </c>
      <c r="F73" s="170" t="str">
        <f t="shared" si="31"/>
        <v>OK.</v>
      </c>
      <c r="G73" s="170" t="str">
        <f t="shared" si="31"/>
        <v>OK.</v>
      </c>
      <c r="H73" s="170" t="str">
        <f t="shared" si="31"/>
        <v>OK.</v>
      </c>
      <c r="I73" s="170" t="str">
        <f t="shared" si="31"/>
        <v>OK.</v>
      </c>
      <c r="J73" s="170" t="str">
        <f t="shared" si="31"/>
        <v>OK.</v>
      </c>
      <c r="K73" s="170" t="str">
        <f t="shared" si="31"/>
        <v>OK.</v>
      </c>
      <c r="L73" s="170" t="str">
        <f t="shared" si="31"/>
        <v>OK.</v>
      </c>
      <c r="M73" s="170" t="str">
        <f t="shared" si="31"/>
        <v>OK.</v>
      </c>
      <c r="N73" s="170" t="str">
        <f t="shared" si="31"/>
        <v>OK.</v>
      </c>
      <c r="O73" s="170" t="str">
        <f t="shared" si="31"/>
        <v>OK.</v>
      </c>
      <c r="P73" s="170" t="str">
        <f t="shared" si="31"/>
        <v>OK.</v>
      </c>
      <c r="Q73" s="170" t="str">
        <f t="shared" si="31"/>
        <v>OK.</v>
      </c>
      <c r="R73" s="170" t="str">
        <f t="shared" si="31"/>
        <v>OK.</v>
      </c>
      <c r="S73" s="170" t="str">
        <f t="shared" si="31"/>
        <v>OK.</v>
      </c>
      <c r="T73" s="170" t="str">
        <f t="shared" si="31"/>
        <v>OK.</v>
      </c>
      <c r="U73" s="170" t="str">
        <f t="shared" si="31"/>
        <v>OK.</v>
      </c>
      <c r="V73" s="170" t="str">
        <f t="shared" si="31"/>
        <v>OK.</v>
      </c>
      <c r="W73" s="170" t="str">
        <f t="shared" si="31"/>
        <v>OK.</v>
      </c>
      <c r="X73" s="170" t="str">
        <f t="shared" si="31"/>
        <v>OK.</v>
      </c>
      <c r="Y73" s="170" t="str">
        <f t="shared" si="31"/>
        <v>OK.</v>
      </c>
      <c r="Z73" s="170" t="str">
        <f t="shared" si="31"/>
        <v>OK.</v>
      </c>
      <c r="AA73" s="170" t="str">
        <f t="shared" si="31"/>
        <v>OK.</v>
      </c>
      <c r="AB73" s="170" t="str">
        <f t="shared" si="31"/>
        <v>OK.</v>
      </c>
      <c r="AC73" s="170" t="str">
        <f t="shared" si="31"/>
        <v>OK.</v>
      </c>
      <c r="AD73" s="170" t="str">
        <f t="shared" si="31"/>
        <v>OK.</v>
      </c>
      <c r="AE73" s="170" t="str">
        <f t="shared" si="31"/>
        <v>OK.</v>
      </c>
      <c r="AF73" s="170" t="str">
        <f t="shared" si="31"/>
        <v>OK.</v>
      </c>
      <c r="AG73" s="170" t="str">
        <f t="shared" si="31"/>
        <v>OK.</v>
      </c>
      <c r="AH73" s="170" t="str">
        <f t="shared" si="31"/>
        <v>OK.</v>
      </c>
      <c r="AI73" s="170" t="str">
        <f t="shared" si="31"/>
        <v>OK.</v>
      </c>
      <c r="AJ73" s="170" t="str">
        <f t="shared" si="31"/>
        <v>OK.</v>
      </c>
      <c r="AK73" s="170" t="str">
        <f t="shared" si="31"/>
        <v>OK.</v>
      </c>
      <c r="AL73" s="170" t="str">
        <f t="shared" si="31"/>
        <v>OK.</v>
      </c>
      <c r="AM73" s="170" t="str">
        <f t="shared" si="31"/>
        <v>OK.</v>
      </c>
      <c r="AN73" s="170" t="str">
        <f t="shared" si="31"/>
        <v>OK.</v>
      </c>
      <c r="AO73" s="170" t="str">
        <f t="shared" si="31"/>
        <v>OK.</v>
      </c>
    </row>
    <row r="74" spans="2:41" ht="12" hidden="1">
      <c r="B74" s="171" t="s">
        <v>173</v>
      </c>
      <c r="C74" s="170" t="str">
        <f aca="true" t="shared" si="32" ref="C74:AO74">+IF(C30&lt;C31,"Brak pokrycia","OK.")</f>
        <v>OK.</v>
      </c>
      <c r="D74" s="170" t="str">
        <f t="shared" si="32"/>
        <v>OK.</v>
      </c>
      <c r="E74" s="170" t="str">
        <f t="shared" si="32"/>
        <v>OK.</v>
      </c>
      <c r="F74" s="170" t="str">
        <f t="shared" si="32"/>
        <v>OK.</v>
      </c>
      <c r="G74" s="170" t="str">
        <f t="shared" si="32"/>
        <v>OK.</v>
      </c>
      <c r="H74" s="170" t="str">
        <f t="shared" si="32"/>
        <v>OK.</v>
      </c>
      <c r="I74" s="170" t="str">
        <f t="shared" si="32"/>
        <v>OK.</v>
      </c>
      <c r="J74" s="170" t="str">
        <f t="shared" si="32"/>
        <v>OK.</v>
      </c>
      <c r="K74" s="170" t="str">
        <f t="shared" si="32"/>
        <v>OK.</v>
      </c>
      <c r="L74" s="170" t="str">
        <f t="shared" si="32"/>
        <v>OK.</v>
      </c>
      <c r="M74" s="170" t="str">
        <f t="shared" si="32"/>
        <v>OK.</v>
      </c>
      <c r="N74" s="170" t="str">
        <f t="shared" si="32"/>
        <v>OK.</v>
      </c>
      <c r="O74" s="170" t="str">
        <f t="shared" si="32"/>
        <v>OK.</v>
      </c>
      <c r="P74" s="170" t="str">
        <f t="shared" si="32"/>
        <v>OK.</v>
      </c>
      <c r="Q74" s="170" t="str">
        <f t="shared" si="32"/>
        <v>OK.</v>
      </c>
      <c r="R74" s="170" t="str">
        <f t="shared" si="32"/>
        <v>OK.</v>
      </c>
      <c r="S74" s="170" t="str">
        <f t="shared" si="32"/>
        <v>OK.</v>
      </c>
      <c r="T74" s="170" t="str">
        <f t="shared" si="32"/>
        <v>OK.</v>
      </c>
      <c r="U74" s="170" t="str">
        <f t="shared" si="32"/>
        <v>OK.</v>
      </c>
      <c r="V74" s="170" t="str">
        <f t="shared" si="32"/>
        <v>OK.</v>
      </c>
      <c r="W74" s="170" t="str">
        <f t="shared" si="32"/>
        <v>OK.</v>
      </c>
      <c r="X74" s="170" t="str">
        <f t="shared" si="32"/>
        <v>OK.</v>
      </c>
      <c r="Y74" s="170" t="str">
        <f t="shared" si="32"/>
        <v>OK.</v>
      </c>
      <c r="Z74" s="170" t="str">
        <f t="shared" si="32"/>
        <v>OK.</v>
      </c>
      <c r="AA74" s="170" t="str">
        <f t="shared" si="32"/>
        <v>OK.</v>
      </c>
      <c r="AB74" s="170" t="str">
        <f t="shared" si="32"/>
        <v>OK.</v>
      </c>
      <c r="AC74" s="170" t="str">
        <f t="shared" si="32"/>
        <v>OK.</v>
      </c>
      <c r="AD74" s="170" t="str">
        <f t="shared" si="32"/>
        <v>OK.</v>
      </c>
      <c r="AE74" s="170" t="str">
        <f t="shared" si="32"/>
        <v>OK.</v>
      </c>
      <c r="AF74" s="170" t="str">
        <f t="shared" si="32"/>
        <v>OK.</v>
      </c>
      <c r="AG74" s="170" t="str">
        <f t="shared" si="32"/>
        <v>OK.</v>
      </c>
      <c r="AH74" s="170" t="str">
        <f t="shared" si="32"/>
        <v>OK.</v>
      </c>
      <c r="AI74" s="170" t="str">
        <f t="shared" si="32"/>
        <v>OK.</v>
      </c>
      <c r="AJ74" s="170" t="str">
        <f t="shared" si="32"/>
        <v>OK.</v>
      </c>
      <c r="AK74" s="170" t="str">
        <f t="shared" si="32"/>
        <v>OK.</v>
      </c>
      <c r="AL74" s="170" t="str">
        <f t="shared" si="32"/>
        <v>OK.</v>
      </c>
      <c r="AM74" s="170" t="str">
        <f t="shared" si="32"/>
        <v>OK.</v>
      </c>
      <c r="AN74" s="170" t="str">
        <f t="shared" si="32"/>
        <v>OK.</v>
      </c>
      <c r="AO74" s="170" t="str">
        <f t="shared" si="32"/>
        <v>OK.</v>
      </c>
    </row>
    <row r="75" spans="2:41" ht="12" hidden="1">
      <c r="B75" s="17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2:41" ht="22.5" hidden="1">
      <c r="B76" s="168" t="s">
        <v>176</v>
      </c>
      <c r="C76" s="173" t="s">
        <v>170</v>
      </c>
      <c r="D76" s="167">
        <f aca="true" t="shared" si="33" ref="D76:AO76">+IF(ROUND(C36+D28-D33-D36,4)=0,"OK.",ROUND(D36-(C36+D28-D33),4))</f>
        <v>-2500000</v>
      </c>
      <c r="E76" s="167">
        <f t="shared" si="33"/>
        <v>-2500000</v>
      </c>
      <c r="F76" s="167">
        <f t="shared" si="33"/>
        <v>-3000000</v>
      </c>
      <c r="G76" s="167" t="str">
        <f t="shared" si="33"/>
        <v>OK.</v>
      </c>
      <c r="H76" s="167" t="str">
        <f t="shared" si="33"/>
        <v>OK.</v>
      </c>
      <c r="I76" s="167" t="str">
        <f t="shared" si="33"/>
        <v>OK.</v>
      </c>
      <c r="J76" s="167" t="str">
        <f t="shared" si="33"/>
        <v>OK.</v>
      </c>
      <c r="K76" s="167" t="str">
        <f t="shared" si="33"/>
        <v>OK.</v>
      </c>
      <c r="L76" s="167" t="str">
        <f t="shared" si="33"/>
        <v>OK.</v>
      </c>
      <c r="M76" s="167" t="str">
        <f t="shared" si="33"/>
        <v>OK.</v>
      </c>
      <c r="N76" s="167" t="str">
        <f t="shared" si="33"/>
        <v>OK.</v>
      </c>
      <c r="O76" s="167" t="str">
        <f t="shared" si="33"/>
        <v>OK.</v>
      </c>
      <c r="P76" s="167" t="str">
        <f t="shared" si="33"/>
        <v>OK.</v>
      </c>
      <c r="Q76" s="167" t="str">
        <f t="shared" si="33"/>
        <v>OK.</v>
      </c>
      <c r="R76" s="167" t="str">
        <f t="shared" si="33"/>
        <v>OK.</v>
      </c>
      <c r="S76" s="167" t="str">
        <f t="shared" si="33"/>
        <v>OK.</v>
      </c>
      <c r="T76" s="167" t="str">
        <f t="shared" si="33"/>
        <v>OK.</v>
      </c>
      <c r="U76" s="167" t="str">
        <f t="shared" si="33"/>
        <v>OK.</v>
      </c>
      <c r="V76" s="167" t="str">
        <f t="shared" si="33"/>
        <v>OK.</v>
      </c>
      <c r="W76" s="167" t="str">
        <f t="shared" si="33"/>
        <v>OK.</v>
      </c>
      <c r="X76" s="167" t="str">
        <f t="shared" si="33"/>
        <v>OK.</v>
      </c>
      <c r="Y76" s="167" t="str">
        <f t="shared" si="33"/>
        <v>OK.</v>
      </c>
      <c r="Z76" s="167" t="str">
        <f t="shared" si="33"/>
        <v>OK.</v>
      </c>
      <c r="AA76" s="167" t="str">
        <f t="shared" si="33"/>
        <v>OK.</v>
      </c>
      <c r="AB76" s="167" t="str">
        <f t="shared" si="33"/>
        <v>OK.</v>
      </c>
      <c r="AC76" s="167" t="str">
        <f t="shared" si="33"/>
        <v>OK.</v>
      </c>
      <c r="AD76" s="167" t="str">
        <f t="shared" si="33"/>
        <v>OK.</v>
      </c>
      <c r="AE76" s="167" t="str">
        <f t="shared" si="33"/>
        <v>OK.</v>
      </c>
      <c r="AF76" s="167" t="str">
        <f t="shared" si="33"/>
        <v>OK.</v>
      </c>
      <c r="AG76" s="167" t="str">
        <f t="shared" si="33"/>
        <v>OK.</v>
      </c>
      <c r="AH76" s="167" t="str">
        <f t="shared" si="33"/>
        <v>OK.</v>
      </c>
      <c r="AI76" s="167" t="str">
        <f t="shared" si="33"/>
        <v>OK.</v>
      </c>
      <c r="AJ76" s="167" t="str">
        <f t="shared" si="33"/>
        <v>OK.</v>
      </c>
      <c r="AK76" s="167" t="str">
        <f t="shared" si="33"/>
        <v>OK.</v>
      </c>
      <c r="AL76" s="167" t="str">
        <f t="shared" si="33"/>
        <v>OK.</v>
      </c>
      <c r="AM76" s="167" t="str">
        <f t="shared" si="33"/>
        <v>OK.</v>
      </c>
      <c r="AN76" s="167" t="str">
        <f t="shared" si="33"/>
        <v>OK.</v>
      </c>
      <c r="AO76" s="167" t="str">
        <f t="shared" si="33"/>
        <v>OK.</v>
      </c>
    </row>
    <row r="77" spans="2:41" ht="22.5" hidden="1">
      <c r="B77" s="174" t="s">
        <v>183</v>
      </c>
      <c r="C77" s="170" t="str">
        <f>+IF(C36&lt;C38,"Za wysoka","OK.")</f>
        <v>OK.</v>
      </c>
      <c r="D77" s="170" t="str">
        <f aca="true" t="shared" si="34" ref="D77:AO77">+IF(D36&lt;D38,"Za wysoka","OK.")</f>
        <v>OK.</v>
      </c>
      <c r="E77" s="170" t="str">
        <f t="shared" si="34"/>
        <v>OK.</v>
      </c>
      <c r="F77" s="170" t="str">
        <f t="shared" si="34"/>
        <v>OK.</v>
      </c>
      <c r="G77" s="170" t="str">
        <f t="shared" si="34"/>
        <v>OK.</v>
      </c>
      <c r="H77" s="170" t="str">
        <f t="shared" si="34"/>
        <v>OK.</v>
      </c>
      <c r="I77" s="170" t="str">
        <f t="shared" si="34"/>
        <v>OK.</v>
      </c>
      <c r="J77" s="170" t="str">
        <f t="shared" si="34"/>
        <v>OK.</v>
      </c>
      <c r="K77" s="170" t="str">
        <f t="shared" si="34"/>
        <v>OK.</v>
      </c>
      <c r="L77" s="170" t="str">
        <f t="shared" si="34"/>
        <v>OK.</v>
      </c>
      <c r="M77" s="170" t="str">
        <f t="shared" si="34"/>
        <v>OK.</v>
      </c>
      <c r="N77" s="170" t="str">
        <f t="shared" si="34"/>
        <v>OK.</v>
      </c>
      <c r="O77" s="170" t="str">
        <f t="shared" si="34"/>
        <v>OK.</v>
      </c>
      <c r="P77" s="170" t="str">
        <f t="shared" si="34"/>
        <v>OK.</v>
      </c>
      <c r="Q77" s="170" t="str">
        <f t="shared" si="34"/>
        <v>OK.</v>
      </c>
      <c r="R77" s="170" t="str">
        <f t="shared" si="34"/>
        <v>OK.</v>
      </c>
      <c r="S77" s="170" t="str">
        <f t="shared" si="34"/>
        <v>OK.</v>
      </c>
      <c r="T77" s="170" t="str">
        <f t="shared" si="34"/>
        <v>OK.</v>
      </c>
      <c r="U77" s="170" t="str">
        <f t="shared" si="34"/>
        <v>OK.</v>
      </c>
      <c r="V77" s="170" t="str">
        <f t="shared" si="34"/>
        <v>OK.</v>
      </c>
      <c r="W77" s="170" t="str">
        <f t="shared" si="34"/>
        <v>OK.</v>
      </c>
      <c r="X77" s="170" t="str">
        <f t="shared" si="34"/>
        <v>OK.</v>
      </c>
      <c r="Y77" s="170" t="str">
        <f t="shared" si="34"/>
        <v>OK.</v>
      </c>
      <c r="Z77" s="170" t="str">
        <f t="shared" si="34"/>
        <v>OK.</v>
      </c>
      <c r="AA77" s="170" t="str">
        <f t="shared" si="34"/>
        <v>OK.</v>
      </c>
      <c r="AB77" s="170" t="str">
        <f t="shared" si="34"/>
        <v>OK.</v>
      </c>
      <c r="AC77" s="170" t="str">
        <f t="shared" si="34"/>
        <v>OK.</v>
      </c>
      <c r="AD77" s="170" t="str">
        <f t="shared" si="34"/>
        <v>OK.</v>
      </c>
      <c r="AE77" s="170" t="str">
        <f t="shared" si="34"/>
        <v>OK.</v>
      </c>
      <c r="AF77" s="170" t="str">
        <f t="shared" si="34"/>
        <v>OK.</v>
      </c>
      <c r="AG77" s="170" t="str">
        <f t="shared" si="34"/>
        <v>OK.</v>
      </c>
      <c r="AH77" s="170" t="str">
        <f t="shared" si="34"/>
        <v>OK.</v>
      </c>
      <c r="AI77" s="170" t="str">
        <f t="shared" si="34"/>
        <v>OK.</v>
      </c>
      <c r="AJ77" s="170" t="str">
        <f t="shared" si="34"/>
        <v>OK.</v>
      </c>
      <c r="AK77" s="170" t="str">
        <f t="shared" si="34"/>
        <v>OK.</v>
      </c>
      <c r="AL77" s="170" t="str">
        <f t="shared" si="34"/>
        <v>OK.</v>
      </c>
      <c r="AM77" s="170" t="str">
        <f t="shared" si="34"/>
        <v>OK.</v>
      </c>
      <c r="AN77" s="170" t="str">
        <f t="shared" si="34"/>
        <v>OK.</v>
      </c>
      <c r="AO77" s="170" t="str">
        <f t="shared" si="34"/>
        <v>OK.</v>
      </c>
    </row>
    <row r="78" spans="2:41" ht="22.5" hidden="1">
      <c r="B78" s="174" t="s">
        <v>178</v>
      </c>
      <c r="C78" s="167" t="str">
        <f>+IF(C33&lt;C34,"Za wysoka","OK.")</f>
        <v>OK.</v>
      </c>
      <c r="D78" s="167" t="str">
        <f aca="true" t="shared" si="35" ref="D78:AO78">+IF(D33&lt;D34,"Za wysoka","OK.")</f>
        <v>OK.</v>
      </c>
      <c r="E78" s="167" t="str">
        <f t="shared" si="35"/>
        <v>OK.</v>
      </c>
      <c r="F78" s="167" t="str">
        <f t="shared" si="35"/>
        <v>OK.</v>
      </c>
      <c r="G78" s="167" t="str">
        <f t="shared" si="35"/>
        <v>OK.</v>
      </c>
      <c r="H78" s="167" t="str">
        <f t="shared" si="35"/>
        <v>OK.</v>
      </c>
      <c r="I78" s="167" t="str">
        <f t="shared" si="35"/>
        <v>OK.</v>
      </c>
      <c r="J78" s="167" t="str">
        <f t="shared" si="35"/>
        <v>OK.</v>
      </c>
      <c r="K78" s="167" t="str">
        <f t="shared" si="35"/>
        <v>OK.</v>
      </c>
      <c r="L78" s="167" t="str">
        <f t="shared" si="35"/>
        <v>OK.</v>
      </c>
      <c r="M78" s="167" t="str">
        <f t="shared" si="35"/>
        <v>OK.</v>
      </c>
      <c r="N78" s="167" t="str">
        <f t="shared" si="35"/>
        <v>OK.</v>
      </c>
      <c r="O78" s="167" t="str">
        <f t="shared" si="35"/>
        <v>OK.</v>
      </c>
      <c r="P78" s="167" t="str">
        <f t="shared" si="35"/>
        <v>OK.</v>
      </c>
      <c r="Q78" s="167" t="str">
        <f t="shared" si="35"/>
        <v>OK.</v>
      </c>
      <c r="R78" s="167" t="str">
        <f t="shared" si="35"/>
        <v>OK.</v>
      </c>
      <c r="S78" s="167" t="str">
        <f t="shared" si="35"/>
        <v>OK.</v>
      </c>
      <c r="T78" s="167" t="str">
        <f t="shared" si="35"/>
        <v>OK.</v>
      </c>
      <c r="U78" s="167" t="str">
        <f t="shared" si="35"/>
        <v>OK.</v>
      </c>
      <c r="V78" s="167" t="str">
        <f t="shared" si="35"/>
        <v>OK.</v>
      </c>
      <c r="W78" s="167" t="str">
        <f t="shared" si="35"/>
        <v>OK.</v>
      </c>
      <c r="X78" s="167" t="str">
        <f t="shared" si="35"/>
        <v>OK.</v>
      </c>
      <c r="Y78" s="167" t="str">
        <f t="shared" si="35"/>
        <v>OK.</v>
      </c>
      <c r="Z78" s="167" t="str">
        <f t="shared" si="35"/>
        <v>OK.</v>
      </c>
      <c r="AA78" s="167" t="str">
        <f t="shared" si="35"/>
        <v>OK.</v>
      </c>
      <c r="AB78" s="167" t="str">
        <f t="shared" si="35"/>
        <v>OK.</v>
      </c>
      <c r="AC78" s="167" t="str">
        <f t="shared" si="35"/>
        <v>OK.</v>
      </c>
      <c r="AD78" s="167" t="str">
        <f t="shared" si="35"/>
        <v>OK.</v>
      </c>
      <c r="AE78" s="167" t="str">
        <f t="shared" si="35"/>
        <v>OK.</v>
      </c>
      <c r="AF78" s="167" t="str">
        <f t="shared" si="35"/>
        <v>OK.</v>
      </c>
      <c r="AG78" s="167" t="str">
        <f t="shared" si="35"/>
        <v>OK.</v>
      </c>
      <c r="AH78" s="167" t="str">
        <f t="shared" si="35"/>
        <v>OK.</v>
      </c>
      <c r="AI78" s="167" t="str">
        <f t="shared" si="35"/>
        <v>OK.</v>
      </c>
      <c r="AJ78" s="167" t="str">
        <f t="shared" si="35"/>
        <v>OK.</v>
      </c>
      <c r="AK78" s="167" t="str">
        <f t="shared" si="35"/>
        <v>OK.</v>
      </c>
      <c r="AL78" s="167" t="str">
        <f t="shared" si="35"/>
        <v>OK.</v>
      </c>
      <c r="AM78" s="167" t="str">
        <f t="shared" si="35"/>
        <v>OK.</v>
      </c>
      <c r="AN78" s="167" t="str">
        <f t="shared" si="35"/>
        <v>OK.</v>
      </c>
      <c r="AO78" s="167" t="str">
        <f t="shared" si="35"/>
        <v>OK.</v>
      </c>
    </row>
    <row r="79" spans="2:41" ht="22.5" hidden="1">
      <c r="B79" s="174" t="s">
        <v>177</v>
      </c>
      <c r="C79" s="170" t="str">
        <f>+IF(C16&lt;C17,"Za wysoka","OK.")</f>
        <v>OK.</v>
      </c>
      <c r="D79" s="170" t="str">
        <f aca="true" t="shared" si="36" ref="D79:AO79">+IF(D16&lt;D17,"Za wysoka","OK.")</f>
        <v>OK.</v>
      </c>
      <c r="E79" s="170" t="str">
        <f t="shared" si="36"/>
        <v>OK.</v>
      </c>
      <c r="F79" s="170" t="str">
        <f t="shared" si="36"/>
        <v>OK.</v>
      </c>
      <c r="G79" s="170" t="str">
        <f t="shared" si="36"/>
        <v>OK.</v>
      </c>
      <c r="H79" s="170" t="str">
        <f t="shared" si="36"/>
        <v>OK.</v>
      </c>
      <c r="I79" s="170" t="str">
        <f t="shared" si="36"/>
        <v>OK.</v>
      </c>
      <c r="J79" s="170" t="str">
        <f t="shared" si="36"/>
        <v>OK.</v>
      </c>
      <c r="K79" s="170" t="str">
        <f t="shared" si="36"/>
        <v>OK.</v>
      </c>
      <c r="L79" s="170" t="str">
        <f t="shared" si="36"/>
        <v>OK.</v>
      </c>
      <c r="M79" s="170" t="str">
        <f t="shared" si="36"/>
        <v>OK.</v>
      </c>
      <c r="N79" s="170" t="str">
        <f t="shared" si="36"/>
        <v>OK.</v>
      </c>
      <c r="O79" s="170" t="str">
        <f t="shared" si="36"/>
        <v>OK.</v>
      </c>
      <c r="P79" s="170" t="str">
        <f t="shared" si="36"/>
        <v>OK.</v>
      </c>
      <c r="Q79" s="170" t="str">
        <f t="shared" si="36"/>
        <v>OK.</v>
      </c>
      <c r="R79" s="170" t="str">
        <f t="shared" si="36"/>
        <v>OK.</v>
      </c>
      <c r="S79" s="170" t="str">
        <f t="shared" si="36"/>
        <v>OK.</v>
      </c>
      <c r="T79" s="170" t="str">
        <f t="shared" si="36"/>
        <v>OK.</v>
      </c>
      <c r="U79" s="170" t="str">
        <f t="shared" si="36"/>
        <v>OK.</v>
      </c>
      <c r="V79" s="170" t="str">
        <f t="shared" si="36"/>
        <v>OK.</v>
      </c>
      <c r="W79" s="170" t="str">
        <f t="shared" si="36"/>
        <v>OK.</v>
      </c>
      <c r="X79" s="170" t="str">
        <f t="shared" si="36"/>
        <v>OK.</v>
      </c>
      <c r="Y79" s="170" t="str">
        <f t="shared" si="36"/>
        <v>OK.</v>
      </c>
      <c r="Z79" s="170" t="str">
        <f t="shared" si="36"/>
        <v>OK.</v>
      </c>
      <c r="AA79" s="170" t="str">
        <f t="shared" si="36"/>
        <v>OK.</v>
      </c>
      <c r="AB79" s="170" t="str">
        <f t="shared" si="36"/>
        <v>OK.</v>
      </c>
      <c r="AC79" s="170" t="str">
        <f t="shared" si="36"/>
        <v>OK.</v>
      </c>
      <c r="AD79" s="170" t="str">
        <f t="shared" si="36"/>
        <v>OK.</v>
      </c>
      <c r="AE79" s="170" t="str">
        <f t="shared" si="36"/>
        <v>OK.</v>
      </c>
      <c r="AF79" s="170" t="str">
        <f t="shared" si="36"/>
        <v>OK.</v>
      </c>
      <c r="AG79" s="170" t="str">
        <f t="shared" si="36"/>
        <v>OK.</v>
      </c>
      <c r="AH79" s="170" t="str">
        <f t="shared" si="36"/>
        <v>OK.</v>
      </c>
      <c r="AI79" s="170" t="str">
        <f t="shared" si="36"/>
        <v>OK.</v>
      </c>
      <c r="AJ79" s="170" t="str">
        <f t="shared" si="36"/>
        <v>OK.</v>
      </c>
      <c r="AK79" s="170" t="str">
        <f t="shared" si="36"/>
        <v>OK.</v>
      </c>
      <c r="AL79" s="170" t="str">
        <f t="shared" si="36"/>
        <v>OK.</v>
      </c>
      <c r="AM79" s="170" t="str">
        <f t="shared" si="36"/>
        <v>OK.</v>
      </c>
      <c r="AN79" s="170" t="str">
        <f t="shared" si="36"/>
        <v>OK.</v>
      </c>
      <c r="AO79" s="170" t="str">
        <f t="shared" si="36"/>
        <v>OK.</v>
      </c>
    </row>
    <row r="80" spans="2:41" ht="22.5" hidden="1">
      <c r="B80" s="174" t="s">
        <v>182</v>
      </c>
      <c r="C80" s="170" t="str">
        <f>+IF(C36&lt;C37,"Za wysoka","OK.")</f>
        <v>OK.</v>
      </c>
      <c r="D80" s="170" t="str">
        <f aca="true" t="shared" si="37" ref="D80:AO80">+IF(D36&lt;D37,"Za wysoka","OK.")</f>
        <v>OK.</v>
      </c>
      <c r="E80" s="170" t="str">
        <f t="shared" si="37"/>
        <v>OK.</v>
      </c>
      <c r="F80" s="170" t="str">
        <f t="shared" si="37"/>
        <v>OK.</v>
      </c>
      <c r="G80" s="170" t="str">
        <f t="shared" si="37"/>
        <v>OK.</v>
      </c>
      <c r="H80" s="170" t="str">
        <f t="shared" si="37"/>
        <v>OK.</v>
      </c>
      <c r="I80" s="170" t="str">
        <f t="shared" si="37"/>
        <v>OK.</v>
      </c>
      <c r="J80" s="170" t="str">
        <f t="shared" si="37"/>
        <v>OK.</v>
      </c>
      <c r="K80" s="170" t="str">
        <f t="shared" si="37"/>
        <v>OK.</v>
      </c>
      <c r="L80" s="170" t="str">
        <f t="shared" si="37"/>
        <v>OK.</v>
      </c>
      <c r="M80" s="170" t="str">
        <f t="shared" si="37"/>
        <v>OK.</v>
      </c>
      <c r="N80" s="170" t="str">
        <f t="shared" si="37"/>
        <v>OK.</v>
      </c>
      <c r="O80" s="170" t="str">
        <f t="shared" si="37"/>
        <v>OK.</v>
      </c>
      <c r="P80" s="170" t="str">
        <f t="shared" si="37"/>
        <v>OK.</v>
      </c>
      <c r="Q80" s="170" t="str">
        <f t="shared" si="37"/>
        <v>OK.</v>
      </c>
      <c r="R80" s="170" t="str">
        <f t="shared" si="37"/>
        <v>OK.</v>
      </c>
      <c r="S80" s="170" t="str">
        <f t="shared" si="37"/>
        <v>OK.</v>
      </c>
      <c r="T80" s="170" t="str">
        <f t="shared" si="37"/>
        <v>OK.</v>
      </c>
      <c r="U80" s="170" t="str">
        <f t="shared" si="37"/>
        <v>OK.</v>
      </c>
      <c r="V80" s="170" t="str">
        <f t="shared" si="37"/>
        <v>OK.</v>
      </c>
      <c r="W80" s="170" t="str">
        <f t="shared" si="37"/>
        <v>OK.</v>
      </c>
      <c r="X80" s="170" t="str">
        <f t="shared" si="37"/>
        <v>OK.</v>
      </c>
      <c r="Y80" s="170" t="str">
        <f t="shared" si="37"/>
        <v>OK.</v>
      </c>
      <c r="Z80" s="170" t="str">
        <f t="shared" si="37"/>
        <v>OK.</v>
      </c>
      <c r="AA80" s="170" t="str">
        <f t="shared" si="37"/>
        <v>OK.</v>
      </c>
      <c r="AB80" s="170" t="str">
        <f t="shared" si="37"/>
        <v>OK.</v>
      </c>
      <c r="AC80" s="170" t="str">
        <f t="shared" si="37"/>
        <v>OK.</v>
      </c>
      <c r="AD80" s="170" t="str">
        <f t="shared" si="37"/>
        <v>OK.</v>
      </c>
      <c r="AE80" s="170" t="str">
        <f t="shared" si="37"/>
        <v>OK.</v>
      </c>
      <c r="AF80" s="170" t="str">
        <f t="shared" si="37"/>
        <v>OK.</v>
      </c>
      <c r="AG80" s="170" t="str">
        <f t="shared" si="37"/>
        <v>OK.</v>
      </c>
      <c r="AH80" s="170" t="str">
        <f t="shared" si="37"/>
        <v>OK.</v>
      </c>
      <c r="AI80" s="170" t="str">
        <f t="shared" si="37"/>
        <v>OK.</v>
      </c>
      <c r="AJ80" s="170" t="str">
        <f t="shared" si="37"/>
        <v>OK.</v>
      </c>
      <c r="AK80" s="170" t="str">
        <f t="shared" si="37"/>
        <v>OK.</v>
      </c>
      <c r="AL80" s="170" t="str">
        <f t="shared" si="37"/>
        <v>OK.</v>
      </c>
      <c r="AM80" s="170" t="str">
        <f t="shared" si="37"/>
        <v>OK.</v>
      </c>
      <c r="AN80" s="170" t="str">
        <f t="shared" si="37"/>
        <v>OK.</v>
      </c>
      <c r="AO80" s="170" t="str">
        <f t="shared" si="37"/>
        <v>OK.</v>
      </c>
    </row>
    <row r="81" spans="2:41" ht="22.5" hidden="1">
      <c r="B81" s="174" t="s">
        <v>188</v>
      </c>
      <c r="C81" s="170" t="str">
        <f>+IF(C36&lt;C56,"Za wysoka","OK.")</f>
        <v>OK.</v>
      </c>
      <c r="D81" s="170" t="str">
        <f aca="true" t="shared" si="38" ref="D81:AO81">+IF(D36&lt;D56,"Za wysoka","OK.")</f>
        <v>OK.</v>
      </c>
      <c r="E81" s="170" t="str">
        <f t="shared" si="38"/>
        <v>OK.</v>
      </c>
      <c r="F81" s="170" t="str">
        <f t="shared" si="38"/>
        <v>OK.</v>
      </c>
      <c r="G81" s="170" t="str">
        <f t="shared" si="38"/>
        <v>OK.</v>
      </c>
      <c r="H81" s="170" t="str">
        <f t="shared" si="38"/>
        <v>OK.</v>
      </c>
      <c r="I81" s="170" t="str">
        <f t="shared" si="38"/>
        <v>OK.</v>
      </c>
      <c r="J81" s="170" t="str">
        <f t="shared" si="38"/>
        <v>OK.</v>
      </c>
      <c r="K81" s="170" t="str">
        <f t="shared" si="38"/>
        <v>OK.</v>
      </c>
      <c r="L81" s="170" t="str">
        <f t="shared" si="38"/>
        <v>OK.</v>
      </c>
      <c r="M81" s="170" t="str">
        <f t="shared" si="38"/>
        <v>OK.</v>
      </c>
      <c r="N81" s="170" t="str">
        <f t="shared" si="38"/>
        <v>OK.</v>
      </c>
      <c r="O81" s="170" t="str">
        <f t="shared" si="38"/>
        <v>OK.</v>
      </c>
      <c r="P81" s="170" t="str">
        <f t="shared" si="38"/>
        <v>OK.</v>
      </c>
      <c r="Q81" s="170" t="str">
        <f t="shared" si="38"/>
        <v>OK.</v>
      </c>
      <c r="R81" s="170" t="str">
        <f t="shared" si="38"/>
        <v>OK.</v>
      </c>
      <c r="S81" s="170" t="str">
        <f t="shared" si="38"/>
        <v>OK.</v>
      </c>
      <c r="T81" s="170" t="str">
        <f t="shared" si="38"/>
        <v>OK.</v>
      </c>
      <c r="U81" s="170" t="str">
        <f t="shared" si="38"/>
        <v>OK.</v>
      </c>
      <c r="V81" s="170" t="str">
        <f t="shared" si="38"/>
        <v>OK.</v>
      </c>
      <c r="W81" s="170" t="str">
        <f t="shared" si="38"/>
        <v>OK.</v>
      </c>
      <c r="X81" s="170" t="str">
        <f t="shared" si="38"/>
        <v>OK.</v>
      </c>
      <c r="Y81" s="170" t="str">
        <f t="shared" si="38"/>
        <v>OK.</v>
      </c>
      <c r="Z81" s="170" t="str">
        <f t="shared" si="38"/>
        <v>OK.</v>
      </c>
      <c r="AA81" s="170" t="str">
        <f t="shared" si="38"/>
        <v>OK.</v>
      </c>
      <c r="AB81" s="170" t="str">
        <f t="shared" si="38"/>
        <v>OK.</v>
      </c>
      <c r="AC81" s="170" t="str">
        <f t="shared" si="38"/>
        <v>OK.</v>
      </c>
      <c r="AD81" s="170" t="str">
        <f t="shared" si="38"/>
        <v>OK.</v>
      </c>
      <c r="AE81" s="170" t="str">
        <f t="shared" si="38"/>
        <v>OK.</v>
      </c>
      <c r="AF81" s="170" t="str">
        <f t="shared" si="38"/>
        <v>OK.</v>
      </c>
      <c r="AG81" s="170" t="str">
        <f t="shared" si="38"/>
        <v>OK.</v>
      </c>
      <c r="AH81" s="170" t="str">
        <f t="shared" si="38"/>
        <v>OK.</v>
      </c>
      <c r="AI81" s="170" t="str">
        <f t="shared" si="38"/>
        <v>OK.</v>
      </c>
      <c r="AJ81" s="170" t="str">
        <f t="shared" si="38"/>
        <v>OK.</v>
      </c>
      <c r="AK81" s="170" t="str">
        <f t="shared" si="38"/>
        <v>OK.</v>
      </c>
      <c r="AL81" s="170" t="str">
        <f t="shared" si="38"/>
        <v>OK.</v>
      </c>
      <c r="AM81" s="170" t="str">
        <f t="shared" si="38"/>
        <v>OK.</v>
      </c>
      <c r="AN81" s="170" t="str">
        <f t="shared" si="38"/>
        <v>OK.</v>
      </c>
      <c r="AO81" s="170" t="str">
        <f t="shared" si="38"/>
        <v>OK.</v>
      </c>
    </row>
    <row r="82" spans="2:41" ht="22.5" hidden="1">
      <c r="B82" s="174" t="s">
        <v>189</v>
      </c>
      <c r="C82" s="170" t="str">
        <f>+IF(C56&lt;C57,"Za wysoka","OK.")</f>
        <v>OK.</v>
      </c>
      <c r="D82" s="170" t="str">
        <f aca="true" t="shared" si="39" ref="D82:AO82">+IF(D56&lt;D57,"Za wysoka","OK.")</f>
        <v>OK.</v>
      </c>
      <c r="E82" s="170" t="str">
        <f t="shared" si="39"/>
        <v>OK.</v>
      </c>
      <c r="F82" s="170" t="str">
        <f t="shared" si="39"/>
        <v>OK.</v>
      </c>
      <c r="G82" s="170" t="str">
        <f t="shared" si="39"/>
        <v>OK.</v>
      </c>
      <c r="H82" s="170" t="str">
        <f t="shared" si="39"/>
        <v>OK.</v>
      </c>
      <c r="I82" s="170" t="str">
        <f t="shared" si="39"/>
        <v>OK.</v>
      </c>
      <c r="J82" s="170" t="str">
        <f t="shared" si="39"/>
        <v>OK.</v>
      </c>
      <c r="K82" s="170" t="str">
        <f t="shared" si="39"/>
        <v>OK.</v>
      </c>
      <c r="L82" s="170" t="str">
        <f t="shared" si="39"/>
        <v>OK.</v>
      </c>
      <c r="M82" s="170" t="str">
        <f t="shared" si="39"/>
        <v>OK.</v>
      </c>
      <c r="N82" s="170" t="str">
        <f t="shared" si="39"/>
        <v>OK.</v>
      </c>
      <c r="O82" s="170" t="str">
        <f t="shared" si="39"/>
        <v>OK.</v>
      </c>
      <c r="P82" s="170" t="str">
        <f t="shared" si="39"/>
        <v>OK.</v>
      </c>
      <c r="Q82" s="170" t="str">
        <f t="shared" si="39"/>
        <v>OK.</v>
      </c>
      <c r="R82" s="170" t="str">
        <f t="shared" si="39"/>
        <v>OK.</v>
      </c>
      <c r="S82" s="170" t="str">
        <f t="shared" si="39"/>
        <v>OK.</v>
      </c>
      <c r="T82" s="170" t="str">
        <f t="shared" si="39"/>
        <v>OK.</v>
      </c>
      <c r="U82" s="170" t="str">
        <f t="shared" si="39"/>
        <v>OK.</v>
      </c>
      <c r="V82" s="170" t="str">
        <f t="shared" si="39"/>
        <v>OK.</v>
      </c>
      <c r="W82" s="170" t="str">
        <f t="shared" si="39"/>
        <v>OK.</v>
      </c>
      <c r="X82" s="170" t="str">
        <f t="shared" si="39"/>
        <v>OK.</v>
      </c>
      <c r="Y82" s="170" t="str">
        <f t="shared" si="39"/>
        <v>OK.</v>
      </c>
      <c r="Z82" s="170" t="str">
        <f t="shared" si="39"/>
        <v>OK.</v>
      </c>
      <c r="AA82" s="170" t="str">
        <f t="shared" si="39"/>
        <v>OK.</v>
      </c>
      <c r="AB82" s="170" t="str">
        <f t="shared" si="39"/>
        <v>OK.</v>
      </c>
      <c r="AC82" s="170" t="str">
        <f t="shared" si="39"/>
        <v>OK.</v>
      </c>
      <c r="AD82" s="170" t="str">
        <f t="shared" si="39"/>
        <v>OK.</v>
      </c>
      <c r="AE82" s="170" t="str">
        <f t="shared" si="39"/>
        <v>OK.</v>
      </c>
      <c r="AF82" s="170" t="str">
        <f t="shared" si="39"/>
        <v>OK.</v>
      </c>
      <c r="AG82" s="170" t="str">
        <f t="shared" si="39"/>
        <v>OK.</v>
      </c>
      <c r="AH82" s="170" t="str">
        <f t="shared" si="39"/>
        <v>OK.</v>
      </c>
      <c r="AI82" s="170" t="str">
        <f t="shared" si="39"/>
        <v>OK.</v>
      </c>
      <c r="AJ82" s="170" t="str">
        <f t="shared" si="39"/>
        <v>OK.</v>
      </c>
      <c r="AK82" s="170" t="str">
        <f t="shared" si="39"/>
        <v>OK.</v>
      </c>
      <c r="AL82" s="170" t="str">
        <f t="shared" si="39"/>
        <v>OK.</v>
      </c>
      <c r="AM82" s="170" t="str">
        <f t="shared" si="39"/>
        <v>OK.</v>
      </c>
      <c r="AN82" s="170" t="str">
        <f t="shared" si="39"/>
        <v>OK.</v>
      </c>
      <c r="AO82" s="170" t="str">
        <f t="shared" si="39"/>
        <v>OK.</v>
      </c>
    </row>
    <row r="83" spans="2:41" ht="12" hidden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4" spans="2:41" ht="22.5" hidden="1">
      <c r="B84" s="174" t="s">
        <v>179</v>
      </c>
      <c r="C84" s="170" t="str">
        <f>+IF(ROUND((C14-(C15+C16+C18)),4)&gt;0,"OK.","Błąd")</f>
        <v>OK.</v>
      </c>
      <c r="D84" s="170" t="str">
        <f aca="true" t="shared" si="40" ref="D84:AO84">+IF(ROUND((D14-(D15+D16+D18)),4)&gt;0,"OK.","Błąd")</f>
        <v>OK.</v>
      </c>
      <c r="E84" s="170" t="str">
        <f t="shared" si="40"/>
        <v>OK.</v>
      </c>
      <c r="F84" s="170" t="str">
        <f t="shared" si="40"/>
        <v>OK.</v>
      </c>
      <c r="G84" s="170" t="str">
        <f t="shared" si="40"/>
        <v>OK.</v>
      </c>
      <c r="H84" s="170" t="str">
        <f t="shared" si="40"/>
        <v>OK.</v>
      </c>
      <c r="I84" s="170" t="str">
        <f t="shared" si="40"/>
        <v>OK.</v>
      </c>
      <c r="J84" s="170" t="str">
        <f t="shared" si="40"/>
        <v>OK.</v>
      </c>
      <c r="K84" s="170" t="str">
        <f t="shared" si="40"/>
        <v>OK.</v>
      </c>
      <c r="L84" s="170" t="str">
        <f t="shared" si="40"/>
        <v>OK.</v>
      </c>
      <c r="M84" s="170" t="str">
        <f t="shared" si="40"/>
        <v>OK.</v>
      </c>
      <c r="N84" s="170" t="str">
        <f t="shared" si="40"/>
        <v>OK.</v>
      </c>
      <c r="O84" s="170" t="str">
        <f t="shared" si="40"/>
        <v>OK.</v>
      </c>
      <c r="P84" s="170" t="str">
        <f t="shared" si="40"/>
        <v>OK.</v>
      </c>
      <c r="Q84" s="170" t="str">
        <f t="shared" si="40"/>
        <v>OK.</v>
      </c>
      <c r="R84" s="170" t="str">
        <f t="shared" si="40"/>
        <v>Błąd</v>
      </c>
      <c r="S84" s="170" t="str">
        <f t="shared" si="40"/>
        <v>Błąd</v>
      </c>
      <c r="T84" s="170" t="str">
        <f t="shared" si="40"/>
        <v>Błąd</v>
      </c>
      <c r="U84" s="170" t="str">
        <f t="shared" si="40"/>
        <v>Błąd</v>
      </c>
      <c r="V84" s="170" t="str">
        <f t="shared" si="40"/>
        <v>Błąd</v>
      </c>
      <c r="W84" s="170" t="str">
        <f t="shared" si="40"/>
        <v>Błąd</v>
      </c>
      <c r="X84" s="170" t="str">
        <f t="shared" si="40"/>
        <v>Błąd</v>
      </c>
      <c r="Y84" s="170" t="str">
        <f t="shared" si="40"/>
        <v>Błąd</v>
      </c>
      <c r="Z84" s="170" t="str">
        <f t="shared" si="40"/>
        <v>Błąd</v>
      </c>
      <c r="AA84" s="170" t="str">
        <f t="shared" si="40"/>
        <v>Błąd</v>
      </c>
      <c r="AB84" s="170" t="str">
        <f t="shared" si="40"/>
        <v>Błąd</v>
      </c>
      <c r="AC84" s="170" t="str">
        <f t="shared" si="40"/>
        <v>Błąd</v>
      </c>
      <c r="AD84" s="170" t="str">
        <f t="shared" si="40"/>
        <v>Błąd</v>
      </c>
      <c r="AE84" s="170" t="str">
        <f t="shared" si="40"/>
        <v>Błąd</v>
      </c>
      <c r="AF84" s="170" t="str">
        <f t="shared" si="40"/>
        <v>Błąd</v>
      </c>
      <c r="AG84" s="170" t="str">
        <f t="shared" si="40"/>
        <v>Błąd</v>
      </c>
      <c r="AH84" s="170" t="str">
        <f t="shared" si="40"/>
        <v>Błąd</v>
      </c>
      <c r="AI84" s="170" t="str">
        <f t="shared" si="40"/>
        <v>Błąd</v>
      </c>
      <c r="AJ84" s="170" t="str">
        <f t="shared" si="40"/>
        <v>Błąd</v>
      </c>
      <c r="AK84" s="170" t="str">
        <f t="shared" si="40"/>
        <v>Błąd</v>
      </c>
      <c r="AL84" s="170" t="str">
        <f t="shared" si="40"/>
        <v>Błąd</v>
      </c>
      <c r="AM84" s="170" t="str">
        <f t="shared" si="40"/>
        <v>Błąd</v>
      </c>
      <c r="AN84" s="170" t="str">
        <f t="shared" si="40"/>
        <v>Błąd</v>
      </c>
      <c r="AO84" s="170" t="str">
        <f t="shared" si="40"/>
        <v>Błąd</v>
      </c>
    </row>
    <row r="85" spans="2:41" ht="22.5" hidden="1">
      <c r="B85" s="174" t="s">
        <v>180</v>
      </c>
      <c r="C85" s="170" t="str">
        <f>+IF(C18&lt;C19,"Za wysokie","OK.")</f>
        <v>OK.</v>
      </c>
      <c r="D85" s="170" t="str">
        <f aca="true" t="shared" si="41" ref="D85:AO85">+IF(D18&lt;D19,"Za wysokie","OK.")</f>
        <v>OK.</v>
      </c>
      <c r="E85" s="170" t="str">
        <f t="shared" si="41"/>
        <v>OK.</v>
      </c>
      <c r="F85" s="170" t="str">
        <f t="shared" si="41"/>
        <v>OK.</v>
      </c>
      <c r="G85" s="170" t="str">
        <f t="shared" si="41"/>
        <v>OK.</v>
      </c>
      <c r="H85" s="170" t="str">
        <f t="shared" si="41"/>
        <v>OK.</v>
      </c>
      <c r="I85" s="170" t="str">
        <f t="shared" si="41"/>
        <v>OK.</v>
      </c>
      <c r="J85" s="170" t="str">
        <f t="shared" si="41"/>
        <v>OK.</v>
      </c>
      <c r="K85" s="170" t="str">
        <f t="shared" si="41"/>
        <v>OK.</v>
      </c>
      <c r="L85" s="170" t="str">
        <f t="shared" si="41"/>
        <v>OK.</v>
      </c>
      <c r="M85" s="170" t="str">
        <f t="shared" si="41"/>
        <v>OK.</v>
      </c>
      <c r="N85" s="170" t="str">
        <f t="shared" si="41"/>
        <v>OK.</v>
      </c>
      <c r="O85" s="170" t="str">
        <f t="shared" si="41"/>
        <v>OK.</v>
      </c>
      <c r="P85" s="170" t="str">
        <f t="shared" si="41"/>
        <v>OK.</v>
      </c>
      <c r="Q85" s="170" t="str">
        <f t="shared" si="41"/>
        <v>OK.</v>
      </c>
      <c r="R85" s="170" t="str">
        <f t="shared" si="41"/>
        <v>OK.</v>
      </c>
      <c r="S85" s="170" t="str">
        <f t="shared" si="41"/>
        <v>OK.</v>
      </c>
      <c r="T85" s="170" t="str">
        <f t="shared" si="41"/>
        <v>OK.</v>
      </c>
      <c r="U85" s="170" t="str">
        <f t="shared" si="41"/>
        <v>OK.</v>
      </c>
      <c r="V85" s="170" t="str">
        <f t="shared" si="41"/>
        <v>OK.</v>
      </c>
      <c r="W85" s="170" t="str">
        <f t="shared" si="41"/>
        <v>OK.</v>
      </c>
      <c r="X85" s="170" t="str">
        <f t="shared" si="41"/>
        <v>OK.</v>
      </c>
      <c r="Y85" s="170" t="str">
        <f t="shared" si="41"/>
        <v>OK.</v>
      </c>
      <c r="Z85" s="170" t="str">
        <f t="shared" si="41"/>
        <v>OK.</v>
      </c>
      <c r="AA85" s="170" t="str">
        <f t="shared" si="41"/>
        <v>OK.</v>
      </c>
      <c r="AB85" s="170" t="str">
        <f t="shared" si="41"/>
        <v>OK.</v>
      </c>
      <c r="AC85" s="170" t="str">
        <f t="shared" si="41"/>
        <v>OK.</v>
      </c>
      <c r="AD85" s="170" t="str">
        <f t="shared" si="41"/>
        <v>OK.</v>
      </c>
      <c r="AE85" s="170" t="str">
        <f t="shared" si="41"/>
        <v>OK.</v>
      </c>
      <c r="AF85" s="170" t="str">
        <f t="shared" si="41"/>
        <v>OK.</v>
      </c>
      <c r="AG85" s="170" t="str">
        <f t="shared" si="41"/>
        <v>OK.</v>
      </c>
      <c r="AH85" s="170" t="str">
        <f t="shared" si="41"/>
        <v>OK.</v>
      </c>
      <c r="AI85" s="170" t="str">
        <f t="shared" si="41"/>
        <v>OK.</v>
      </c>
      <c r="AJ85" s="170" t="str">
        <f t="shared" si="41"/>
        <v>OK.</v>
      </c>
      <c r="AK85" s="170" t="str">
        <f t="shared" si="41"/>
        <v>OK.</v>
      </c>
      <c r="AL85" s="170" t="str">
        <f t="shared" si="41"/>
        <v>OK.</v>
      </c>
      <c r="AM85" s="170" t="str">
        <f t="shared" si="41"/>
        <v>OK.</v>
      </c>
      <c r="AN85" s="170" t="str">
        <f t="shared" si="41"/>
        <v>OK.</v>
      </c>
      <c r="AO85" s="170" t="str">
        <f t="shared" si="41"/>
        <v>OK.</v>
      </c>
    </row>
    <row r="86" spans="2:41" ht="12" hidden="1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</row>
    <row r="87" spans="2:41" ht="22.5" hidden="1">
      <c r="B87" s="174" t="s">
        <v>187</v>
      </c>
      <c r="C87" s="170" t="str">
        <f aca="true" t="shared" si="42" ref="C87:AO87">+IF(C7&lt;C8,"Za wysokie","OK.")</f>
        <v>OK.</v>
      </c>
      <c r="D87" s="170" t="str">
        <f t="shared" si="42"/>
        <v>OK.</v>
      </c>
      <c r="E87" s="170" t="str">
        <f t="shared" si="42"/>
        <v>OK.</v>
      </c>
      <c r="F87" s="170" t="str">
        <f t="shared" si="42"/>
        <v>OK.</v>
      </c>
      <c r="G87" s="170" t="str">
        <f t="shared" si="42"/>
        <v>OK.</v>
      </c>
      <c r="H87" s="170" t="str">
        <f t="shared" si="42"/>
        <v>OK.</v>
      </c>
      <c r="I87" s="170" t="str">
        <f t="shared" si="42"/>
        <v>OK.</v>
      </c>
      <c r="J87" s="170" t="str">
        <f t="shared" si="42"/>
        <v>OK.</v>
      </c>
      <c r="K87" s="170" t="str">
        <f t="shared" si="42"/>
        <v>OK.</v>
      </c>
      <c r="L87" s="170" t="str">
        <f t="shared" si="42"/>
        <v>OK.</v>
      </c>
      <c r="M87" s="170" t="str">
        <f t="shared" si="42"/>
        <v>OK.</v>
      </c>
      <c r="N87" s="170" t="str">
        <f t="shared" si="42"/>
        <v>OK.</v>
      </c>
      <c r="O87" s="170" t="str">
        <f t="shared" si="42"/>
        <v>OK.</v>
      </c>
      <c r="P87" s="170" t="str">
        <f t="shared" si="42"/>
        <v>OK.</v>
      </c>
      <c r="Q87" s="170" t="str">
        <f t="shared" si="42"/>
        <v>OK.</v>
      </c>
      <c r="R87" s="170" t="str">
        <f t="shared" si="42"/>
        <v>OK.</v>
      </c>
      <c r="S87" s="170" t="str">
        <f t="shared" si="42"/>
        <v>OK.</v>
      </c>
      <c r="T87" s="170" t="str">
        <f t="shared" si="42"/>
        <v>OK.</v>
      </c>
      <c r="U87" s="170" t="str">
        <f t="shared" si="42"/>
        <v>OK.</v>
      </c>
      <c r="V87" s="170" t="str">
        <f t="shared" si="42"/>
        <v>OK.</v>
      </c>
      <c r="W87" s="170" t="str">
        <f t="shared" si="42"/>
        <v>OK.</v>
      </c>
      <c r="X87" s="170" t="str">
        <f t="shared" si="42"/>
        <v>OK.</v>
      </c>
      <c r="Y87" s="170" t="str">
        <f t="shared" si="42"/>
        <v>OK.</v>
      </c>
      <c r="Z87" s="170" t="str">
        <f t="shared" si="42"/>
        <v>OK.</v>
      </c>
      <c r="AA87" s="170" t="str">
        <f t="shared" si="42"/>
        <v>OK.</v>
      </c>
      <c r="AB87" s="170" t="str">
        <f t="shared" si="42"/>
        <v>OK.</v>
      </c>
      <c r="AC87" s="170" t="str">
        <f t="shared" si="42"/>
        <v>OK.</v>
      </c>
      <c r="AD87" s="170" t="str">
        <f t="shared" si="42"/>
        <v>OK.</v>
      </c>
      <c r="AE87" s="170" t="str">
        <f t="shared" si="42"/>
        <v>OK.</v>
      </c>
      <c r="AF87" s="170" t="str">
        <f t="shared" si="42"/>
        <v>OK.</v>
      </c>
      <c r="AG87" s="170" t="str">
        <f t="shared" si="42"/>
        <v>OK.</v>
      </c>
      <c r="AH87" s="170" t="str">
        <f t="shared" si="42"/>
        <v>OK.</v>
      </c>
      <c r="AI87" s="170" t="str">
        <f t="shared" si="42"/>
        <v>OK.</v>
      </c>
      <c r="AJ87" s="170" t="str">
        <f t="shared" si="42"/>
        <v>OK.</v>
      </c>
      <c r="AK87" s="170" t="str">
        <f t="shared" si="42"/>
        <v>OK.</v>
      </c>
      <c r="AL87" s="170" t="str">
        <f t="shared" si="42"/>
        <v>OK.</v>
      </c>
      <c r="AM87" s="170" t="str">
        <f t="shared" si="42"/>
        <v>OK.</v>
      </c>
      <c r="AN87" s="170" t="str">
        <f t="shared" si="42"/>
        <v>OK.</v>
      </c>
      <c r="AO87" s="170" t="str">
        <f t="shared" si="42"/>
        <v>OK.</v>
      </c>
    </row>
    <row r="88" spans="2:41" ht="22.5" hidden="1">
      <c r="B88" s="174" t="s">
        <v>186</v>
      </c>
      <c r="C88" s="170" t="str">
        <f aca="true" t="shared" si="43" ref="C88:AO88">+IF(C9&lt;C11,"Za wysokie","OK.")</f>
        <v>OK.</v>
      </c>
      <c r="D88" s="170" t="str">
        <f t="shared" si="43"/>
        <v>OK.</v>
      </c>
      <c r="E88" s="170" t="str">
        <f t="shared" si="43"/>
        <v>OK.</v>
      </c>
      <c r="F88" s="170" t="str">
        <f t="shared" si="43"/>
        <v>OK.</v>
      </c>
      <c r="G88" s="170" t="str">
        <f t="shared" si="43"/>
        <v>OK.</v>
      </c>
      <c r="H88" s="170" t="str">
        <f t="shared" si="43"/>
        <v>OK.</v>
      </c>
      <c r="I88" s="170" t="str">
        <f t="shared" si="43"/>
        <v>OK.</v>
      </c>
      <c r="J88" s="170" t="str">
        <f t="shared" si="43"/>
        <v>OK.</v>
      </c>
      <c r="K88" s="170" t="str">
        <f t="shared" si="43"/>
        <v>OK.</v>
      </c>
      <c r="L88" s="170" t="str">
        <f t="shared" si="43"/>
        <v>OK.</v>
      </c>
      <c r="M88" s="170" t="str">
        <f t="shared" si="43"/>
        <v>OK.</v>
      </c>
      <c r="N88" s="170" t="str">
        <f t="shared" si="43"/>
        <v>OK.</v>
      </c>
      <c r="O88" s="170" t="str">
        <f t="shared" si="43"/>
        <v>OK.</v>
      </c>
      <c r="P88" s="170" t="str">
        <f t="shared" si="43"/>
        <v>OK.</v>
      </c>
      <c r="Q88" s="170" t="str">
        <f t="shared" si="43"/>
        <v>OK.</v>
      </c>
      <c r="R88" s="170" t="str">
        <f t="shared" si="43"/>
        <v>OK.</v>
      </c>
      <c r="S88" s="170" t="str">
        <f t="shared" si="43"/>
        <v>OK.</v>
      </c>
      <c r="T88" s="170" t="str">
        <f t="shared" si="43"/>
        <v>OK.</v>
      </c>
      <c r="U88" s="170" t="str">
        <f t="shared" si="43"/>
        <v>OK.</v>
      </c>
      <c r="V88" s="170" t="str">
        <f t="shared" si="43"/>
        <v>OK.</v>
      </c>
      <c r="W88" s="170" t="str">
        <f t="shared" si="43"/>
        <v>OK.</v>
      </c>
      <c r="X88" s="170" t="str">
        <f t="shared" si="43"/>
        <v>OK.</v>
      </c>
      <c r="Y88" s="170" t="str">
        <f t="shared" si="43"/>
        <v>OK.</v>
      </c>
      <c r="Z88" s="170" t="str">
        <f t="shared" si="43"/>
        <v>OK.</v>
      </c>
      <c r="AA88" s="170" t="str">
        <f t="shared" si="43"/>
        <v>OK.</v>
      </c>
      <c r="AB88" s="170" t="str">
        <f t="shared" si="43"/>
        <v>OK.</v>
      </c>
      <c r="AC88" s="170" t="str">
        <f t="shared" si="43"/>
        <v>OK.</v>
      </c>
      <c r="AD88" s="170" t="str">
        <f t="shared" si="43"/>
        <v>OK.</v>
      </c>
      <c r="AE88" s="170" t="str">
        <f t="shared" si="43"/>
        <v>OK.</v>
      </c>
      <c r="AF88" s="170" t="str">
        <f t="shared" si="43"/>
        <v>OK.</v>
      </c>
      <c r="AG88" s="170" t="str">
        <f t="shared" si="43"/>
        <v>OK.</v>
      </c>
      <c r="AH88" s="170" t="str">
        <f t="shared" si="43"/>
        <v>OK.</v>
      </c>
      <c r="AI88" s="170" t="str">
        <f t="shared" si="43"/>
        <v>OK.</v>
      </c>
      <c r="AJ88" s="170" t="str">
        <f t="shared" si="43"/>
        <v>OK.</v>
      </c>
      <c r="AK88" s="170" t="str">
        <f t="shared" si="43"/>
        <v>OK.</v>
      </c>
      <c r="AL88" s="170" t="str">
        <f t="shared" si="43"/>
        <v>OK.</v>
      </c>
      <c r="AM88" s="170" t="str">
        <f t="shared" si="43"/>
        <v>OK.</v>
      </c>
      <c r="AN88" s="170" t="str">
        <f t="shared" si="43"/>
        <v>OK.</v>
      </c>
      <c r="AO88" s="170" t="str">
        <f t="shared" si="43"/>
        <v>OK.</v>
      </c>
    </row>
    <row r="89" spans="2:41" ht="33.75" hidden="1">
      <c r="B89" s="174" t="s">
        <v>185</v>
      </c>
      <c r="C89" s="170" t="str">
        <f>+IF(C14&lt;C15,"Za wysokie","OK.")</f>
        <v>OK.</v>
      </c>
      <c r="D89" s="170" t="str">
        <f aca="true" t="shared" si="44" ref="D89:AO89">+IF(D14&lt;D15,"Za wysokie","OK.")</f>
        <v>OK.</v>
      </c>
      <c r="E89" s="170" t="str">
        <f t="shared" si="44"/>
        <v>OK.</v>
      </c>
      <c r="F89" s="170" t="str">
        <f t="shared" si="44"/>
        <v>OK.</v>
      </c>
      <c r="G89" s="170" t="str">
        <f t="shared" si="44"/>
        <v>OK.</v>
      </c>
      <c r="H89" s="170" t="str">
        <f t="shared" si="44"/>
        <v>OK.</v>
      </c>
      <c r="I89" s="170" t="str">
        <f t="shared" si="44"/>
        <v>OK.</v>
      </c>
      <c r="J89" s="170" t="str">
        <f t="shared" si="44"/>
        <v>OK.</v>
      </c>
      <c r="K89" s="170" t="str">
        <f t="shared" si="44"/>
        <v>OK.</v>
      </c>
      <c r="L89" s="170" t="str">
        <f t="shared" si="44"/>
        <v>OK.</v>
      </c>
      <c r="M89" s="170" t="str">
        <f t="shared" si="44"/>
        <v>OK.</v>
      </c>
      <c r="N89" s="170" t="str">
        <f t="shared" si="44"/>
        <v>OK.</v>
      </c>
      <c r="O89" s="170" t="str">
        <f t="shared" si="44"/>
        <v>OK.</v>
      </c>
      <c r="P89" s="170" t="str">
        <f t="shared" si="44"/>
        <v>OK.</v>
      </c>
      <c r="Q89" s="170" t="str">
        <f t="shared" si="44"/>
        <v>OK.</v>
      </c>
      <c r="R89" s="170" t="str">
        <f t="shared" si="44"/>
        <v>OK.</v>
      </c>
      <c r="S89" s="170" t="str">
        <f t="shared" si="44"/>
        <v>OK.</v>
      </c>
      <c r="T89" s="170" t="str">
        <f t="shared" si="44"/>
        <v>OK.</v>
      </c>
      <c r="U89" s="170" t="str">
        <f t="shared" si="44"/>
        <v>OK.</v>
      </c>
      <c r="V89" s="170" t="str">
        <f t="shared" si="44"/>
        <v>OK.</v>
      </c>
      <c r="W89" s="170" t="str">
        <f t="shared" si="44"/>
        <v>OK.</v>
      </c>
      <c r="X89" s="170" t="str">
        <f t="shared" si="44"/>
        <v>OK.</v>
      </c>
      <c r="Y89" s="170" t="str">
        <f t="shared" si="44"/>
        <v>OK.</v>
      </c>
      <c r="Z89" s="170" t="str">
        <f t="shared" si="44"/>
        <v>OK.</v>
      </c>
      <c r="AA89" s="170" t="str">
        <f t="shared" si="44"/>
        <v>OK.</v>
      </c>
      <c r="AB89" s="170" t="str">
        <f t="shared" si="44"/>
        <v>OK.</v>
      </c>
      <c r="AC89" s="170" t="str">
        <f t="shared" si="44"/>
        <v>OK.</v>
      </c>
      <c r="AD89" s="170" t="str">
        <f t="shared" si="44"/>
        <v>OK.</v>
      </c>
      <c r="AE89" s="170" t="str">
        <f t="shared" si="44"/>
        <v>OK.</v>
      </c>
      <c r="AF89" s="170" t="str">
        <f t="shared" si="44"/>
        <v>OK.</v>
      </c>
      <c r="AG89" s="170" t="str">
        <f t="shared" si="44"/>
        <v>OK.</v>
      </c>
      <c r="AH89" s="170" t="str">
        <f t="shared" si="44"/>
        <v>OK.</v>
      </c>
      <c r="AI89" s="170" t="str">
        <f t="shared" si="44"/>
        <v>OK.</v>
      </c>
      <c r="AJ89" s="170" t="str">
        <f t="shared" si="44"/>
        <v>OK.</v>
      </c>
      <c r="AK89" s="170" t="str">
        <f t="shared" si="44"/>
        <v>OK.</v>
      </c>
      <c r="AL89" s="170" t="str">
        <f t="shared" si="44"/>
        <v>OK.</v>
      </c>
      <c r="AM89" s="170" t="str">
        <f t="shared" si="44"/>
        <v>OK.</v>
      </c>
      <c r="AN89" s="170" t="str">
        <f t="shared" si="44"/>
        <v>OK.</v>
      </c>
      <c r="AO89" s="170" t="str">
        <f t="shared" si="44"/>
        <v>OK.</v>
      </c>
    </row>
    <row r="90" spans="2:41" ht="33.75" hidden="1">
      <c r="B90" s="176" t="s">
        <v>181</v>
      </c>
      <c r="C90" s="177" t="str">
        <f aca="true" t="shared" si="45" ref="C90:AO90">+IF(C20&lt;C21,"Za wysokie","OK.")</f>
        <v>OK.</v>
      </c>
      <c r="D90" s="177" t="str">
        <f t="shared" si="45"/>
        <v>OK.</v>
      </c>
      <c r="E90" s="177" t="str">
        <f t="shared" si="45"/>
        <v>OK.</v>
      </c>
      <c r="F90" s="177" t="str">
        <f t="shared" si="45"/>
        <v>OK.</v>
      </c>
      <c r="G90" s="177" t="str">
        <f t="shared" si="45"/>
        <v>OK.</v>
      </c>
      <c r="H90" s="177" t="str">
        <f t="shared" si="45"/>
        <v>OK.</v>
      </c>
      <c r="I90" s="177" t="str">
        <f t="shared" si="45"/>
        <v>OK.</v>
      </c>
      <c r="J90" s="177" t="str">
        <f t="shared" si="45"/>
        <v>OK.</v>
      </c>
      <c r="K90" s="177" t="str">
        <f t="shared" si="45"/>
        <v>OK.</v>
      </c>
      <c r="L90" s="177" t="str">
        <f t="shared" si="45"/>
        <v>OK.</v>
      </c>
      <c r="M90" s="177" t="str">
        <f t="shared" si="45"/>
        <v>OK.</v>
      </c>
      <c r="N90" s="177" t="str">
        <f t="shared" si="45"/>
        <v>OK.</v>
      </c>
      <c r="O90" s="177" t="str">
        <f t="shared" si="45"/>
        <v>OK.</v>
      </c>
      <c r="P90" s="177" t="str">
        <f t="shared" si="45"/>
        <v>OK.</v>
      </c>
      <c r="Q90" s="177" t="str">
        <f t="shared" si="45"/>
        <v>OK.</v>
      </c>
      <c r="R90" s="177" t="str">
        <f t="shared" si="45"/>
        <v>OK.</v>
      </c>
      <c r="S90" s="177" t="str">
        <f t="shared" si="45"/>
        <v>OK.</v>
      </c>
      <c r="T90" s="177" t="str">
        <f t="shared" si="45"/>
        <v>OK.</v>
      </c>
      <c r="U90" s="177" t="str">
        <f t="shared" si="45"/>
        <v>OK.</v>
      </c>
      <c r="V90" s="177" t="str">
        <f t="shared" si="45"/>
        <v>OK.</v>
      </c>
      <c r="W90" s="177" t="str">
        <f t="shared" si="45"/>
        <v>OK.</v>
      </c>
      <c r="X90" s="177" t="str">
        <f t="shared" si="45"/>
        <v>OK.</v>
      </c>
      <c r="Y90" s="177" t="str">
        <f t="shared" si="45"/>
        <v>OK.</v>
      </c>
      <c r="Z90" s="177" t="str">
        <f t="shared" si="45"/>
        <v>OK.</v>
      </c>
      <c r="AA90" s="177" t="str">
        <f t="shared" si="45"/>
        <v>OK.</v>
      </c>
      <c r="AB90" s="177" t="str">
        <f t="shared" si="45"/>
        <v>OK.</v>
      </c>
      <c r="AC90" s="177" t="str">
        <f t="shared" si="45"/>
        <v>OK.</v>
      </c>
      <c r="AD90" s="177" t="str">
        <f t="shared" si="45"/>
        <v>OK.</v>
      </c>
      <c r="AE90" s="177" t="str">
        <f t="shared" si="45"/>
        <v>OK.</v>
      </c>
      <c r="AF90" s="177" t="str">
        <f t="shared" si="45"/>
        <v>OK.</v>
      </c>
      <c r="AG90" s="177" t="str">
        <f t="shared" si="45"/>
        <v>OK.</v>
      </c>
      <c r="AH90" s="177" t="str">
        <f t="shared" si="45"/>
        <v>OK.</v>
      </c>
      <c r="AI90" s="177" t="str">
        <f t="shared" si="45"/>
        <v>OK.</v>
      </c>
      <c r="AJ90" s="177" t="str">
        <f t="shared" si="45"/>
        <v>OK.</v>
      </c>
      <c r="AK90" s="177" t="str">
        <f t="shared" si="45"/>
        <v>OK.</v>
      </c>
      <c r="AL90" s="177" t="str">
        <f t="shared" si="45"/>
        <v>OK.</v>
      </c>
      <c r="AM90" s="177" t="str">
        <f t="shared" si="45"/>
        <v>OK.</v>
      </c>
      <c r="AN90" s="177" t="str">
        <f t="shared" si="45"/>
        <v>OK.</v>
      </c>
      <c r="AO90" s="177" t="str">
        <f t="shared" si="45"/>
        <v>OK.</v>
      </c>
    </row>
  </sheetData>
  <sheetProtection/>
  <conditionalFormatting sqref="C67:AO67 C69:AO70 C72:AO74 C84:AO85 C87:AO90 C76:AO82">
    <cfRule type="cellIs" priority="3" dxfId="2" operator="notEqual" stopIfTrue="1">
      <formula>"OK."</formula>
    </cfRule>
  </conditionalFormatting>
  <conditionalFormatting sqref="C47:AO47">
    <cfRule type="expression" priority="5" dxfId="0" stopIfTrue="1">
      <formula>LEFT(C47,3)="Nie"</formula>
    </cfRule>
  </conditionalFormatting>
  <conditionalFormatting sqref="C49:AO49">
    <cfRule type="expression" priority="6" dxfId="0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Uch. RPW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(223000) - wrocławski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2012-2026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88681084</f>
        <v>88681084</v>
      </c>
      <c r="D7" s="133">
        <f>90274501</f>
        <v>90274501</v>
      </c>
      <c r="E7" s="133">
        <f>93189679</f>
        <v>93189679</v>
      </c>
      <c r="F7" s="133">
        <f>81075408</f>
        <v>81075408</v>
      </c>
      <c r="G7" s="133">
        <f>77516470</f>
        <v>77516470</v>
      </c>
      <c r="H7" s="133">
        <f>78455313</f>
        <v>78455313</v>
      </c>
      <c r="I7" s="133">
        <f>79349468</f>
        <v>79349468</v>
      </c>
      <c r="J7" s="133">
        <f>79840975</f>
        <v>79840975</v>
      </c>
      <c r="K7" s="133">
        <f>80780681</f>
        <v>80780681</v>
      </c>
      <c r="L7" s="133">
        <f>81721748</f>
        <v>81721748</v>
      </c>
      <c r="M7" s="133">
        <f>82313281</f>
        <v>82313281</v>
      </c>
      <c r="N7" s="133">
        <f>83279531</f>
        <v>83279531</v>
      </c>
      <c r="O7" s="133">
        <f>84245781</f>
        <v>84245781</v>
      </c>
      <c r="P7" s="133">
        <f>85160000</f>
        <v>85160000</v>
      </c>
      <c r="Q7" s="133">
        <f>86160000</f>
        <v>86160000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75996925</f>
        <v>75996925</v>
      </c>
      <c r="D8" s="112">
        <f>72198315</f>
        <v>72198315</v>
      </c>
      <c r="E8" s="112">
        <f>73069757</f>
        <v>73069757</v>
      </c>
      <c r="F8" s="112">
        <f>74915408</f>
        <v>74915408</v>
      </c>
      <c r="G8" s="112">
        <f>75856470</f>
        <v>75856470</v>
      </c>
      <c r="H8" s="112">
        <f>76795313</f>
        <v>76795313</v>
      </c>
      <c r="I8" s="112">
        <f>77689468</f>
        <v>77689468</v>
      </c>
      <c r="J8" s="112">
        <f>78680975</f>
        <v>78680975</v>
      </c>
      <c r="K8" s="112">
        <f>79620681</f>
        <v>79620681</v>
      </c>
      <c r="L8" s="112">
        <f>80561748</f>
        <v>80561748</v>
      </c>
      <c r="M8" s="112">
        <f>81153281</f>
        <v>81153281</v>
      </c>
      <c r="N8" s="112">
        <f>82119531</f>
        <v>82119531</v>
      </c>
      <c r="O8" s="112">
        <f>83085781</f>
        <v>83085781</v>
      </c>
      <c r="P8" s="112">
        <f>84000000</f>
        <v>84000000</v>
      </c>
      <c r="Q8" s="112">
        <f>85000000</f>
        <v>85000000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458280</f>
        <v>458280</v>
      </c>
      <c r="D9" s="112">
        <f>143073</f>
        <v>143073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12684159</f>
        <v>12684159</v>
      </c>
      <c r="D10" s="112">
        <f>18076186</f>
        <v>18076186</v>
      </c>
      <c r="E10" s="112">
        <f>20119922</f>
        <v>20119922</v>
      </c>
      <c r="F10" s="112">
        <f>6160000</f>
        <v>6160000</v>
      </c>
      <c r="G10" s="112">
        <f aca="true" t="shared" si="0" ref="G10:I11">1660000</f>
        <v>1660000</v>
      </c>
      <c r="H10" s="112">
        <f t="shared" si="0"/>
        <v>1660000</v>
      </c>
      <c r="I10" s="112">
        <f t="shared" si="0"/>
        <v>1660000</v>
      </c>
      <c r="J10" s="112">
        <f aca="true" t="shared" si="1" ref="J10:Q11">1160000</f>
        <v>1160000</v>
      </c>
      <c r="K10" s="112">
        <f t="shared" si="1"/>
        <v>1160000</v>
      </c>
      <c r="L10" s="112">
        <f t="shared" si="1"/>
        <v>1160000</v>
      </c>
      <c r="M10" s="112">
        <f t="shared" si="1"/>
        <v>1160000</v>
      </c>
      <c r="N10" s="112">
        <f t="shared" si="1"/>
        <v>1160000</v>
      </c>
      <c r="O10" s="112">
        <f t="shared" si="1"/>
        <v>1160000</v>
      </c>
      <c r="P10" s="112">
        <f t="shared" si="1"/>
        <v>1160000</v>
      </c>
      <c r="Q10" s="112">
        <f t="shared" si="1"/>
        <v>1160000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11240603</f>
        <v>11240603</v>
      </c>
      <c r="D11" s="112">
        <f>17819913</f>
        <v>17819913</v>
      </c>
      <c r="E11" s="112">
        <f>20119922</f>
        <v>20119922</v>
      </c>
      <c r="F11" s="112">
        <f>6160000</f>
        <v>6160000</v>
      </c>
      <c r="G11" s="112">
        <f t="shared" si="0"/>
        <v>1660000</v>
      </c>
      <c r="H11" s="112">
        <f t="shared" si="0"/>
        <v>1660000</v>
      </c>
      <c r="I11" s="112">
        <f t="shared" si="0"/>
        <v>1660000</v>
      </c>
      <c r="J11" s="112">
        <f t="shared" si="1"/>
        <v>1160000</v>
      </c>
      <c r="K11" s="112">
        <f t="shared" si="1"/>
        <v>1160000</v>
      </c>
      <c r="L11" s="112">
        <f t="shared" si="1"/>
        <v>1160000</v>
      </c>
      <c r="M11" s="112">
        <f t="shared" si="1"/>
        <v>1160000</v>
      </c>
      <c r="N11" s="112">
        <f t="shared" si="1"/>
        <v>1160000</v>
      </c>
      <c r="O11" s="112">
        <f t="shared" si="1"/>
        <v>1160000</v>
      </c>
      <c r="P11" s="112">
        <f t="shared" si="1"/>
        <v>1160000</v>
      </c>
      <c r="Q11" s="112">
        <f t="shared" si="1"/>
        <v>1160000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443556</f>
        <v>443556</v>
      </c>
      <c r="D12" s="136">
        <f>256273</f>
        <v>256273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73981925</f>
        <v>73981925</v>
      </c>
      <c r="D13" s="133">
        <f>70443071</f>
        <v>70443071</v>
      </c>
      <c r="E13" s="133">
        <f>71535245</f>
        <v>71535245</v>
      </c>
      <c r="F13" s="133">
        <f>71563174</f>
        <v>71563174</v>
      </c>
      <c r="G13" s="133">
        <f>72645085</f>
        <v>72645085</v>
      </c>
      <c r="H13" s="133">
        <f>73724981</f>
        <v>73724981</v>
      </c>
      <c r="I13" s="133">
        <f>74760074</f>
        <v>74760074</v>
      </c>
      <c r="J13" s="133">
        <f>75892528</f>
        <v>75892528</v>
      </c>
      <c r="K13" s="133">
        <f>76973090</f>
        <v>76973090</v>
      </c>
      <c r="L13" s="133">
        <f>78055204</f>
        <v>78055204</v>
      </c>
      <c r="M13" s="133">
        <f>79137162</f>
        <v>79137162</v>
      </c>
      <c r="N13" s="133">
        <f>80226444</f>
        <v>80226444</v>
      </c>
      <c r="O13" s="133">
        <f>81293764</f>
        <v>81293764</v>
      </c>
      <c r="P13" s="133">
        <f>83947969</f>
        <v>83947969</v>
      </c>
      <c r="Q13" s="133">
        <f>84981719</f>
        <v>84981719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28690542</f>
        <v>28690542</v>
      </c>
      <c r="D14" s="112">
        <f>28900000</f>
        <v>28900000</v>
      </c>
      <c r="E14" s="112">
        <f>29500000</f>
        <v>29500000</v>
      </c>
      <c r="F14" s="112">
        <f>30100000</f>
        <v>30100000</v>
      </c>
      <c r="G14" s="112">
        <f>30600000</f>
        <v>30600000</v>
      </c>
      <c r="H14" s="112">
        <f>31200000</f>
        <v>31200000</v>
      </c>
      <c r="I14" s="112">
        <f>31800000</f>
        <v>31800000</v>
      </c>
      <c r="J14" s="112">
        <f>32400000</f>
        <v>32400000</v>
      </c>
      <c r="K14" s="112">
        <f>33000000</f>
        <v>33000000</v>
      </c>
      <c r="L14" s="112">
        <f>33600000</f>
        <v>33600000</v>
      </c>
      <c r="M14" s="112">
        <f>34200000</f>
        <v>34200000</v>
      </c>
      <c r="N14" s="112">
        <f>34800000</f>
        <v>34800000</v>
      </c>
      <c r="O14" s="112">
        <f>35400000</f>
        <v>35400000</v>
      </c>
      <c r="P14" s="112">
        <f>36000000</f>
        <v>36000000</v>
      </c>
      <c r="Q14" s="112">
        <f>36600000</f>
        <v>36600000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11018343</f>
        <v>11018343</v>
      </c>
      <c r="D15" s="112">
        <f>11200000</f>
        <v>11200000</v>
      </c>
      <c r="E15" s="112">
        <f>11800000</f>
        <v>11800000</v>
      </c>
      <c r="F15" s="112">
        <f>11900000</f>
        <v>11900000</v>
      </c>
      <c r="G15" s="112">
        <f>12000000</f>
        <v>12000000</v>
      </c>
      <c r="H15" s="112">
        <f>12100000</f>
        <v>12100000</v>
      </c>
      <c r="I15" s="112">
        <f>12200000</f>
        <v>12200000</v>
      </c>
      <c r="J15" s="112">
        <f>12300000</f>
        <v>12300000</v>
      </c>
      <c r="K15" s="112">
        <f>12400000</f>
        <v>12400000</v>
      </c>
      <c r="L15" s="112">
        <f>12500000</f>
        <v>12500000</v>
      </c>
      <c r="M15" s="112">
        <f>12600000</f>
        <v>12600000</v>
      </c>
      <c r="N15" s="112">
        <f>12700000</f>
        <v>12700000</v>
      </c>
      <c r="O15" s="112">
        <f>12750000</f>
        <v>12750000</v>
      </c>
      <c r="P15" s="112">
        <f>12850000</f>
        <v>12850000</v>
      </c>
      <c r="Q15" s="112">
        <f>13000000</f>
        <v>13000000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950295</f>
        <v>950295</v>
      </c>
      <c r="D18" s="112">
        <f>355439</f>
        <v>355439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539153</f>
        <v>539153</v>
      </c>
      <c r="D19" s="136">
        <f>168320</f>
        <v>168320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14699159</f>
        <v>14699159</v>
      </c>
      <c r="D20" s="106">
        <f>19831430</f>
        <v>19831430</v>
      </c>
      <c r="E20" s="106">
        <f>21654434</f>
        <v>21654434</v>
      </c>
      <c r="F20" s="106">
        <f>9512234</f>
        <v>9512234</v>
      </c>
      <c r="G20" s="106">
        <f>4871385</f>
        <v>4871385</v>
      </c>
      <c r="H20" s="106">
        <f>4730332</f>
        <v>4730332</v>
      </c>
      <c r="I20" s="106">
        <f>4589394</f>
        <v>4589394</v>
      </c>
      <c r="J20" s="106">
        <f>3948447</f>
        <v>3948447</v>
      </c>
      <c r="K20" s="106">
        <f>3807591</f>
        <v>3807591</v>
      </c>
      <c r="L20" s="106">
        <f>3666544</f>
        <v>3666544</v>
      </c>
      <c r="M20" s="106">
        <f>3176119</f>
        <v>3176119</v>
      </c>
      <c r="N20" s="106">
        <f>3053087</f>
        <v>3053087</v>
      </c>
      <c r="O20" s="106">
        <f>2952017</f>
        <v>2952017</v>
      </c>
      <c r="P20" s="106">
        <f>1212031</f>
        <v>1212031</v>
      </c>
      <c r="Q20" s="106">
        <f>1178281</f>
        <v>1178281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7940713</f>
        <v>7940713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4120800</f>
        <v>4120800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22639872</f>
        <v>22639872</v>
      </c>
      <c r="D25" s="106">
        <f>19831430</f>
        <v>19831430</v>
      </c>
      <c r="E25" s="106">
        <f>21654434</f>
        <v>21654434</v>
      </c>
      <c r="F25" s="106">
        <f>9512234</f>
        <v>9512234</v>
      </c>
      <c r="G25" s="106">
        <f>4871385</f>
        <v>4871385</v>
      </c>
      <c r="H25" s="106">
        <f>4730332</f>
        <v>4730332</v>
      </c>
      <c r="I25" s="106">
        <f>4589394</f>
        <v>4589394</v>
      </c>
      <c r="J25" s="106">
        <f>3948447</f>
        <v>3948447</v>
      </c>
      <c r="K25" s="106">
        <f>3807591</f>
        <v>3807591</v>
      </c>
      <c r="L25" s="106">
        <f>3666544</f>
        <v>3666544</v>
      </c>
      <c r="M25" s="106">
        <f>3176119</f>
        <v>3176119</v>
      </c>
      <c r="N25" s="106">
        <f>3053087</f>
        <v>3053087</v>
      </c>
      <c r="O25" s="106">
        <f>2952017</f>
        <v>2952017</v>
      </c>
      <c r="P25" s="106">
        <f>1212031</f>
        <v>1212031</v>
      </c>
      <c r="Q25" s="106">
        <f>1178281</f>
        <v>1178281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5599913</f>
        <v>5599913</v>
      </c>
      <c r="D26" s="133">
        <f>6075157</f>
        <v>6075157</v>
      </c>
      <c r="E26" s="133">
        <f>5854434</f>
        <v>5854434</v>
      </c>
      <c r="F26" s="133">
        <f>3852234</f>
        <v>3852234</v>
      </c>
      <c r="G26" s="133">
        <f>3711385</f>
        <v>3711385</v>
      </c>
      <c r="H26" s="133">
        <f>3570332</f>
        <v>3570332</v>
      </c>
      <c r="I26" s="133">
        <f>3429394</f>
        <v>3429394</v>
      </c>
      <c r="J26" s="133">
        <f>3288447</f>
        <v>3288447</v>
      </c>
      <c r="K26" s="133">
        <f>3147591</f>
        <v>3147591</v>
      </c>
      <c r="L26" s="133">
        <f>3006544</f>
        <v>3006544</v>
      </c>
      <c r="M26" s="133">
        <f>2516119</f>
        <v>2516119</v>
      </c>
      <c r="N26" s="133">
        <f>2393087</f>
        <v>2393087</v>
      </c>
      <c r="O26" s="133">
        <f>2292017</f>
        <v>2292017</v>
      </c>
      <c r="P26" s="133">
        <f>552031</f>
        <v>552031</v>
      </c>
      <c r="Q26" s="133">
        <f>518281</f>
        <v>518281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3819913</f>
        <v>3819913</v>
      </c>
      <c r="D27" s="112">
        <f>4319913</f>
        <v>4319913</v>
      </c>
      <c r="E27" s="112">
        <f>4319922</f>
        <v>4319922</v>
      </c>
      <c r="F27" s="112">
        <f aca="true" t="shared" si="2" ref="F27:K27">2501733</f>
        <v>2501733</v>
      </c>
      <c r="G27" s="112">
        <f t="shared" si="2"/>
        <v>2501733</v>
      </c>
      <c r="H27" s="112">
        <f t="shared" si="2"/>
        <v>2501733</v>
      </c>
      <c r="I27" s="112">
        <f t="shared" si="2"/>
        <v>2501733</v>
      </c>
      <c r="J27" s="112">
        <f t="shared" si="2"/>
        <v>2501733</v>
      </c>
      <c r="K27" s="112">
        <f t="shared" si="2"/>
        <v>2501733</v>
      </c>
      <c r="L27" s="112">
        <f>2501731</f>
        <v>2501731</v>
      </c>
      <c r="M27" s="112">
        <f>2154468</f>
        <v>2154468</v>
      </c>
      <c r="N27" s="112">
        <f>2154468</f>
        <v>2154468</v>
      </c>
      <c r="O27" s="112">
        <f>2154460</f>
        <v>2154460</v>
      </c>
      <c r="P27" s="112">
        <f>500000</f>
        <v>500000</v>
      </c>
      <c r="Q27" s="112">
        <f>500000</f>
        <v>500000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1780000</f>
        <v>1780000</v>
      </c>
      <c r="D29" s="112">
        <f>1755244</f>
        <v>1755244</v>
      </c>
      <c r="E29" s="112">
        <f>1534512</f>
        <v>1534512</v>
      </c>
      <c r="F29" s="112">
        <f>1350501</f>
        <v>1350501</v>
      </c>
      <c r="G29" s="112">
        <f>1209652</f>
        <v>1209652</v>
      </c>
      <c r="H29" s="112">
        <f>1068599</f>
        <v>1068599</v>
      </c>
      <c r="I29" s="112">
        <f>927661</f>
        <v>927661</v>
      </c>
      <c r="J29" s="112">
        <f>786714</f>
        <v>786714</v>
      </c>
      <c r="K29" s="112">
        <f>645858</f>
        <v>645858</v>
      </c>
      <c r="L29" s="112">
        <f>504813</f>
        <v>504813</v>
      </c>
      <c r="M29" s="112">
        <f>361651</f>
        <v>361651</v>
      </c>
      <c r="N29" s="112">
        <f>238619</f>
        <v>238619</v>
      </c>
      <c r="O29" s="112">
        <f>137557</f>
        <v>137557</v>
      </c>
      <c r="P29" s="112">
        <f>52031</f>
        <v>52031</v>
      </c>
      <c r="Q29" s="112">
        <f>18281</f>
        <v>18281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1780000</f>
        <v>1780000</v>
      </c>
      <c r="D30" s="136">
        <f>1755244</f>
        <v>1755244</v>
      </c>
      <c r="E30" s="136">
        <f>1534512</f>
        <v>1534512</v>
      </c>
      <c r="F30" s="136">
        <f>1350501</f>
        <v>1350501</v>
      </c>
      <c r="G30" s="136">
        <f>1209652</f>
        <v>1209652</v>
      </c>
      <c r="H30" s="136">
        <f>1068599</f>
        <v>1068599</v>
      </c>
      <c r="I30" s="136">
        <f>927661</f>
        <v>927661</v>
      </c>
      <c r="J30" s="136">
        <f>786714</f>
        <v>786714</v>
      </c>
      <c r="K30" s="136">
        <f>645858</f>
        <v>645858</v>
      </c>
      <c r="L30" s="136">
        <f>504813</f>
        <v>504813</v>
      </c>
      <c r="M30" s="136">
        <f>361651</f>
        <v>361651</v>
      </c>
      <c r="N30" s="136">
        <f>238619</f>
        <v>238619</v>
      </c>
      <c r="O30" s="136">
        <f>137557</f>
        <v>137557</v>
      </c>
      <c r="P30" s="136">
        <f>52031</f>
        <v>52031</v>
      </c>
      <c r="Q30" s="136">
        <f>18281</f>
        <v>18281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17039959</f>
        <v>17039959</v>
      </c>
      <c r="D32" s="106">
        <f>13756273</f>
        <v>13756273</v>
      </c>
      <c r="E32" s="106">
        <f>15800000</f>
        <v>15800000</v>
      </c>
      <c r="F32" s="106">
        <f>5660000</f>
        <v>5660000</v>
      </c>
      <c r="G32" s="106">
        <f aca="true" t="shared" si="3" ref="G32:I33">1160000</f>
        <v>1160000</v>
      </c>
      <c r="H32" s="106">
        <f t="shared" si="3"/>
        <v>1160000</v>
      </c>
      <c r="I32" s="106">
        <f t="shared" si="3"/>
        <v>1160000</v>
      </c>
      <c r="J32" s="106">
        <f aca="true" t="shared" si="4" ref="J32:Q33">660000</f>
        <v>660000</v>
      </c>
      <c r="K32" s="106">
        <f t="shared" si="4"/>
        <v>660000</v>
      </c>
      <c r="L32" s="106">
        <f t="shared" si="4"/>
        <v>660000</v>
      </c>
      <c r="M32" s="106">
        <f t="shared" si="4"/>
        <v>660000</v>
      </c>
      <c r="N32" s="106">
        <f t="shared" si="4"/>
        <v>660000</v>
      </c>
      <c r="O32" s="106">
        <f t="shared" si="4"/>
        <v>660000</v>
      </c>
      <c r="P32" s="106">
        <f t="shared" si="4"/>
        <v>660000</v>
      </c>
      <c r="Q32" s="106">
        <f t="shared" si="4"/>
        <v>660000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24039959</f>
        <v>24039959</v>
      </c>
      <c r="D33" s="133">
        <f>13756273</f>
        <v>13756273</v>
      </c>
      <c r="E33" s="133">
        <f>15800000</f>
        <v>15800000</v>
      </c>
      <c r="F33" s="133">
        <f>5660000</f>
        <v>5660000</v>
      </c>
      <c r="G33" s="133">
        <f t="shared" si="3"/>
        <v>1160000</v>
      </c>
      <c r="H33" s="133">
        <f t="shared" si="3"/>
        <v>1160000</v>
      </c>
      <c r="I33" s="133">
        <f t="shared" si="3"/>
        <v>1160000</v>
      </c>
      <c r="J33" s="133">
        <f t="shared" si="4"/>
        <v>660000</v>
      </c>
      <c r="K33" s="133">
        <f t="shared" si="4"/>
        <v>660000</v>
      </c>
      <c r="L33" s="133">
        <f t="shared" si="4"/>
        <v>660000</v>
      </c>
      <c r="M33" s="133">
        <f t="shared" si="4"/>
        <v>660000</v>
      </c>
      <c r="N33" s="133">
        <f t="shared" si="4"/>
        <v>660000</v>
      </c>
      <c r="O33" s="133">
        <f t="shared" si="4"/>
        <v>660000</v>
      </c>
      <c r="P33" s="133">
        <f t="shared" si="4"/>
        <v>660000</v>
      </c>
      <c r="Q33" s="133">
        <f t="shared" si="4"/>
        <v>660000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20600000</f>
        <v>20600000</v>
      </c>
      <c r="D34" s="112">
        <f>13756273</f>
        <v>13756273</v>
      </c>
      <c r="E34" s="112">
        <f>15800000</f>
        <v>15800000</v>
      </c>
      <c r="F34" s="112">
        <f>5000000</f>
        <v>5000000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443556</f>
        <v>443556</v>
      </c>
      <c r="D35" s="136">
        <f>256273</f>
        <v>256273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7000000</f>
        <v>7000000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7000000</f>
        <v>7000000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41615360</f>
        <v>41615360</v>
      </c>
      <c r="D39" s="141">
        <f>34795447</f>
        <v>34795447</v>
      </c>
      <c r="E39" s="141">
        <f>27975525</f>
        <v>27975525</v>
      </c>
      <c r="F39" s="141">
        <f>22473792</f>
        <v>22473792</v>
      </c>
      <c r="G39" s="141">
        <f>19972059</f>
        <v>19972059</v>
      </c>
      <c r="H39" s="141">
        <f>17470326</f>
        <v>17470326</v>
      </c>
      <c r="I39" s="141">
        <f>14968593</f>
        <v>14968593</v>
      </c>
      <c r="J39" s="141">
        <f>12466860</f>
        <v>12466860</v>
      </c>
      <c r="K39" s="141">
        <f>9965127</f>
        <v>9965127</v>
      </c>
      <c r="L39" s="141">
        <f>7463396</f>
        <v>7463396</v>
      </c>
      <c r="M39" s="141">
        <f>5308928</f>
        <v>5308928</v>
      </c>
      <c r="N39" s="141">
        <f>3154460</f>
        <v>3154460</v>
      </c>
      <c r="O39" s="141">
        <f>1000000</f>
        <v>1000000</v>
      </c>
      <c r="P39" s="141">
        <f>500000</f>
        <v>500000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8000000</f>
        <v>8000000</v>
      </c>
      <c r="D40" s="140">
        <f>5500000</f>
        <v>5500000</v>
      </c>
      <c r="E40" s="140">
        <f>3000000</f>
        <v>3000000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4319913</f>
        <v>4319913</v>
      </c>
      <c r="E43" s="41">
        <f>4319922</f>
        <v>4319922</v>
      </c>
      <c r="F43" s="41">
        <f aca="true" t="shared" si="5" ref="F43:K43">2501733</f>
        <v>2501733</v>
      </c>
      <c r="G43" s="41">
        <f t="shared" si="5"/>
        <v>2501733</v>
      </c>
      <c r="H43" s="41">
        <f t="shared" si="5"/>
        <v>2501733</v>
      </c>
      <c r="I43" s="41">
        <f t="shared" si="5"/>
        <v>2501733</v>
      </c>
      <c r="J43" s="41">
        <f t="shared" si="5"/>
        <v>2501733</v>
      </c>
      <c r="K43" s="41">
        <f t="shared" si="5"/>
        <v>2501733</v>
      </c>
      <c r="L43" s="41">
        <f>2501731</f>
        <v>2501731</v>
      </c>
      <c r="M43" s="41">
        <f>2154468</f>
        <v>2154468</v>
      </c>
      <c r="N43" s="41">
        <f>2154468</f>
        <v>2154468</v>
      </c>
      <c r="O43" s="41">
        <f>2154460</f>
        <v>2154460</v>
      </c>
      <c r="P43" s="41">
        <f>500000</f>
        <v>500000</v>
      </c>
      <c r="Q43" s="41">
        <f>500000</f>
        <v>500000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0.4693</f>
        <v>0.4693</v>
      </c>
      <c r="D46" s="148">
        <f>0.3854</f>
        <v>0.3854</v>
      </c>
      <c r="E46" s="148">
        <f>0.3002</f>
        <v>0.3002</v>
      </c>
      <c r="F46" s="148">
        <f>0.2772</f>
        <v>0.2772</v>
      </c>
      <c r="G46" s="148">
        <f>0.2576</f>
        <v>0.2576</v>
      </c>
      <c r="H46" s="148">
        <f>0.2227</f>
        <v>0.2227</v>
      </c>
      <c r="I46" s="148">
        <f>0.1886</f>
        <v>0.1886</v>
      </c>
      <c r="J46" s="148">
        <f>0.1561</f>
        <v>0.1561</v>
      </c>
      <c r="K46" s="148">
        <f>0.1234</f>
        <v>0.1234</v>
      </c>
      <c r="L46" s="148">
        <f>0.0913</f>
        <v>0.0913</v>
      </c>
      <c r="M46" s="148">
        <f>0.0645</f>
        <v>0.0645</v>
      </c>
      <c r="N46" s="148">
        <f>0.0379</f>
        <v>0.0379</v>
      </c>
      <c r="O46" s="148">
        <f>0.0119</f>
        <v>0.0119</v>
      </c>
      <c r="P46" s="148">
        <f>0.0059</f>
        <v>0.0059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0.4693</f>
        <v>0.4693</v>
      </c>
      <c r="D47" s="121">
        <f>0.3854</f>
        <v>0.3854</v>
      </c>
      <c r="E47" s="121">
        <f>0.3002</f>
        <v>0.3002</v>
      </c>
      <c r="F47" s="121">
        <f>0.2772</f>
        <v>0.2772</v>
      </c>
      <c r="G47" s="121">
        <f>0.2576</f>
        <v>0.2576</v>
      </c>
      <c r="H47" s="121">
        <f>0.2227</f>
        <v>0.2227</v>
      </c>
      <c r="I47" s="121">
        <f>0.1886</f>
        <v>0.1886</v>
      </c>
      <c r="J47" s="121">
        <f>0.1561</f>
        <v>0.1561</v>
      </c>
      <c r="K47" s="121">
        <f>0.1234</f>
        <v>0.1234</v>
      </c>
      <c r="L47" s="121">
        <f>0.0913</f>
        <v>0.0913</v>
      </c>
      <c r="M47" s="121">
        <f>0.0645</f>
        <v>0.0645</v>
      </c>
      <c r="N47" s="121">
        <f>0.0379</f>
        <v>0.0379</v>
      </c>
      <c r="O47" s="121">
        <f>0.0119</f>
        <v>0.0119</v>
      </c>
      <c r="P47" s="121">
        <f>0.0059</f>
        <v>0.0059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0.0631</f>
        <v>0.0631</v>
      </c>
      <c r="D48" s="121">
        <f>0.0673</f>
        <v>0.0673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0.0631</f>
        <v>0.0631</v>
      </c>
      <c r="D49" s="150">
        <f>0.0673</f>
        <v>0.0673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0.1294</f>
        <v>0.1294</v>
      </c>
      <c r="D50" s="148">
        <f>0.1974</f>
        <v>0.1974</v>
      </c>
      <c r="E50" s="148">
        <f>0.2159</f>
        <v>0.2159</v>
      </c>
      <c r="F50" s="148">
        <f>0.1007</f>
        <v>0.1007</v>
      </c>
      <c r="G50" s="148">
        <f>0.0472</f>
        <v>0.0472</v>
      </c>
      <c r="H50" s="148">
        <f>0.0467</f>
        <v>0.0467</v>
      </c>
      <c r="I50" s="148">
        <f>0.0461</f>
        <v>0.0461</v>
      </c>
      <c r="J50" s="148">
        <f>0.0396</f>
        <v>0.0396</v>
      </c>
      <c r="K50" s="148">
        <f>0.0391</f>
        <v>0.0391</v>
      </c>
      <c r="L50" s="148">
        <f>0.0387</f>
        <v>0.0387</v>
      </c>
      <c r="M50" s="148">
        <f>0.0342</f>
        <v>0.0342</v>
      </c>
      <c r="N50" s="148">
        <f>0.0338</f>
        <v>0.0338</v>
      </c>
      <c r="O50" s="148">
        <f>0.0334</f>
        <v>0.0334</v>
      </c>
      <c r="P50" s="148">
        <f>0.0136</f>
        <v>0.0136</v>
      </c>
      <c r="Q50" s="148">
        <f>0.0135</f>
        <v>0.0135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0.0914</f>
        <v>0.0914</v>
      </c>
      <c r="D51" s="121">
        <f>0.0679</f>
        <v>0.0679</v>
      </c>
      <c r="E51" s="121">
        <f>0.1177</f>
        <v>0.1177</v>
      </c>
      <c r="F51" s="121">
        <f>0.1809</f>
        <v>0.1809</v>
      </c>
      <c r="G51" s="121">
        <f>0.1713</f>
        <v>0.1713</v>
      </c>
      <c r="H51" s="121">
        <f>0.1213</f>
        <v>0.1213</v>
      </c>
      <c r="I51" s="121">
        <f>0.0649</f>
        <v>0.0649</v>
      </c>
      <c r="J51" s="121">
        <f>0.0467</f>
        <v>0.0467</v>
      </c>
      <c r="K51" s="121">
        <f>0.0441</f>
        <v>0.0441</v>
      </c>
      <c r="L51" s="121">
        <f>0.0416</f>
        <v>0.0416</v>
      </c>
      <c r="M51" s="121">
        <f>0.0391</f>
        <v>0.0391</v>
      </c>
      <c r="N51" s="121">
        <f>0.0373</f>
        <v>0.0373</v>
      </c>
      <c r="O51" s="121">
        <f>0.0356</f>
        <v>0.0356</v>
      </c>
      <c r="P51" s="121">
        <f>0.0338</f>
        <v>0.0338</v>
      </c>
      <c r="Q51" s="121">
        <f>0.0269</f>
        <v>0.0269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0.0631</f>
        <v>0.0631</v>
      </c>
      <c r="D52" s="121">
        <f>0.0673</f>
        <v>0.0673</v>
      </c>
      <c r="E52" s="121">
        <f>0.0628</f>
        <v>0.0628</v>
      </c>
      <c r="F52" s="121">
        <f>0.0475</f>
        <v>0.0475</v>
      </c>
      <c r="G52" s="121">
        <f>0.0479</f>
        <v>0.0479</v>
      </c>
      <c r="H52" s="121">
        <f>0.0455</f>
        <v>0.0455</v>
      </c>
      <c r="I52" s="121">
        <f>0.0432</f>
        <v>0.0432</v>
      </c>
      <c r="J52" s="121">
        <f>0.0412</f>
        <v>0.0412</v>
      </c>
      <c r="K52" s="121">
        <f>0.039</f>
        <v>0.039</v>
      </c>
      <c r="L52" s="121">
        <f>0.0368</f>
        <v>0.0368</v>
      </c>
      <c r="M52" s="121">
        <f>0.0306</f>
        <v>0.0306</v>
      </c>
      <c r="N52" s="121">
        <f>0.0287</f>
        <v>0.0287</v>
      </c>
      <c r="O52" s="121">
        <f>0.0272</f>
        <v>0.0272</v>
      </c>
      <c r="P52" s="121">
        <f>0.0065</f>
        <v>0.0065</v>
      </c>
      <c r="Q52" s="121">
        <f>0.006</f>
        <v>0.006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Spełnia  art. 243</v>
      </c>
      <c r="D53" s="123" t="str">
        <f aca="true" t="shared" si="6" ref="D53:AD53">IF(D52&lt;=D$51,"Spełnia  art. 243","Nie spełnia art. 243")</f>
        <v>Spełnia 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79</v>
      </c>
      <c r="C54" s="121">
        <f>0.0631</f>
        <v>0.0631</v>
      </c>
      <c r="D54" s="121">
        <f>0.0673</f>
        <v>0.0673</v>
      </c>
      <c r="E54" s="121">
        <f>0.0628</f>
        <v>0.0628</v>
      </c>
      <c r="F54" s="121">
        <f>0.0475</f>
        <v>0.0475</v>
      </c>
      <c r="G54" s="121">
        <f>0.0479</f>
        <v>0.0479</v>
      </c>
      <c r="H54" s="121">
        <f>0.0455</f>
        <v>0.0455</v>
      </c>
      <c r="I54" s="121">
        <f>0.0432</f>
        <v>0.0432</v>
      </c>
      <c r="J54" s="121">
        <f>0.0412</f>
        <v>0.0412</v>
      </c>
      <c r="K54" s="121">
        <f>0.039</f>
        <v>0.039</v>
      </c>
      <c r="L54" s="121">
        <f>0.0368</f>
        <v>0.0368</v>
      </c>
      <c r="M54" s="121">
        <f>0.0306</f>
        <v>0.0306</v>
      </c>
      <c r="N54" s="121">
        <f>0.0287</f>
        <v>0.0287</v>
      </c>
      <c r="O54" s="121">
        <f>0.0272</f>
        <v>0.0272</v>
      </c>
      <c r="P54" s="121">
        <f>0.0065</f>
        <v>0.0065</v>
      </c>
      <c r="Q54" s="121">
        <f>0.006</f>
        <v>0.006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Spełnia  art. 243</v>
      </c>
      <c r="D55" s="153" t="str">
        <f aca="true" t="shared" si="8" ref="D55:AD55">IF(D54&lt;=D$51,"Spełnia  art. 243","Nie spełnia art. 243")</f>
        <v>Spełnia 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151</v>
      </c>
      <c r="C56" s="139">
        <f>75996925</f>
        <v>75996925</v>
      </c>
      <c r="D56" s="139">
        <f>72198315</f>
        <v>72198315</v>
      </c>
      <c r="E56" s="139">
        <f>73069757</f>
        <v>73069757</v>
      </c>
      <c r="F56" s="139">
        <f>74915408</f>
        <v>74915408</v>
      </c>
      <c r="G56" s="139">
        <f>75856470</f>
        <v>75856470</v>
      </c>
      <c r="H56" s="139">
        <f>76795313</f>
        <v>76795313</v>
      </c>
      <c r="I56" s="139">
        <f>77689468</f>
        <v>77689468</v>
      </c>
      <c r="J56" s="139">
        <f>78680975</f>
        <v>78680975</v>
      </c>
      <c r="K56" s="139">
        <f>79620681</f>
        <v>79620681</v>
      </c>
      <c r="L56" s="139">
        <f>80561748</f>
        <v>80561748</v>
      </c>
      <c r="M56" s="139">
        <f>81153281</f>
        <v>81153281</v>
      </c>
      <c r="N56" s="139">
        <f>82119531</f>
        <v>82119531</v>
      </c>
      <c r="O56" s="139">
        <f>83085781</f>
        <v>83085781</v>
      </c>
      <c r="P56" s="139">
        <f>84000000</f>
        <v>84000000</v>
      </c>
      <c r="Q56" s="139">
        <f>85000000</f>
        <v>85000000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75761925</f>
        <v>75761925</v>
      </c>
      <c r="D57" s="117">
        <f>72198315</f>
        <v>72198315</v>
      </c>
      <c r="E57" s="117">
        <f>73069757</f>
        <v>73069757</v>
      </c>
      <c r="F57" s="117">
        <f>72913675</f>
        <v>72913675</v>
      </c>
      <c r="G57" s="117">
        <f>73854737</f>
        <v>73854737</v>
      </c>
      <c r="H57" s="117">
        <f>74793580</f>
        <v>74793580</v>
      </c>
      <c r="I57" s="117">
        <f>75687735</f>
        <v>75687735</v>
      </c>
      <c r="J57" s="117">
        <f>76679242</f>
        <v>76679242</v>
      </c>
      <c r="K57" s="117">
        <f>77618948</f>
        <v>77618948</v>
      </c>
      <c r="L57" s="117">
        <f>78560017</f>
        <v>78560017</v>
      </c>
      <c r="M57" s="117">
        <f>79498813</f>
        <v>79498813</v>
      </c>
      <c r="N57" s="117">
        <f>80465063</f>
        <v>80465063</v>
      </c>
      <c r="O57" s="117">
        <f>81431321</f>
        <v>81431321</v>
      </c>
      <c r="P57" s="117">
        <f>84000000</f>
        <v>84000000</v>
      </c>
      <c r="Q57" s="117">
        <f>85000000</f>
        <v>85000000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235000</f>
        <v>235000</v>
      </c>
      <c r="D58" s="130">
        <f>0</f>
        <v>0</v>
      </c>
      <c r="E58" s="130">
        <f>0</f>
        <v>0</v>
      </c>
      <c r="F58" s="130">
        <f aca="true" t="shared" si="10" ref="F58:K58">2001733</f>
        <v>2001733</v>
      </c>
      <c r="G58" s="130">
        <f t="shared" si="10"/>
        <v>2001733</v>
      </c>
      <c r="H58" s="130">
        <f t="shared" si="10"/>
        <v>2001733</v>
      </c>
      <c r="I58" s="130">
        <f t="shared" si="10"/>
        <v>2001733</v>
      </c>
      <c r="J58" s="130">
        <f t="shared" si="10"/>
        <v>2001733</v>
      </c>
      <c r="K58" s="130">
        <f t="shared" si="10"/>
        <v>2001733</v>
      </c>
      <c r="L58" s="130">
        <f>2001731</f>
        <v>2001731</v>
      </c>
      <c r="M58" s="130">
        <f>1654468</f>
        <v>1654468</v>
      </c>
      <c r="N58" s="130">
        <f>1654468</f>
        <v>1654468</v>
      </c>
      <c r="O58" s="130">
        <f>1654460</f>
        <v>1654460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12684159</v>
      </c>
      <c r="D59" s="139">
        <f aca="true" t="shared" si="11" ref="D59:AO59">+D10</f>
        <v>18076186</v>
      </c>
      <c r="E59" s="139">
        <f t="shared" si="11"/>
        <v>20119922</v>
      </c>
      <c r="F59" s="139">
        <f t="shared" si="11"/>
        <v>6160000</v>
      </c>
      <c r="G59" s="139">
        <f t="shared" si="11"/>
        <v>1660000</v>
      </c>
      <c r="H59" s="139">
        <f t="shared" si="11"/>
        <v>1660000</v>
      </c>
      <c r="I59" s="139">
        <f t="shared" si="11"/>
        <v>1660000</v>
      </c>
      <c r="J59" s="139">
        <f t="shared" si="11"/>
        <v>1160000</v>
      </c>
      <c r="K59" s="139">
        <f t="shared" si="11"/>
        <v>1160000</v>
      </c>
      <c r="L59" s="139">
        <f t="shared" si="11"/>
        <v>1160000</v>
      </c>
      <c r="M59" s="139">
        <f t="shared" si="11"/>
        <v>1160000</v>
      </c>
      <c r="N59" s="139">
        <f t="shared" si="11"/>
        <v>1160000</v>
      </c>
      <c r="O59" s="139">
        <f t="shared" si="11"/>
        <v>1160000</v>
      </c>
      <c r="P59" s="139">
        <f t="shared" si="11"/>
        <v>1160000</v>
      </c>
      <c r="Q59" s="139">
        <f t="shared" si="11"/>
        <v>1160000</v>
      </c>
      <c r="R59" s="139">
        <f t="shared" si="11"/>
        <v>0</v>
      </c>
      <c r="S59" s="139">
        <f t="shared" si="11"/>
        <v>0</v>
      </c>
      <c r="T59" s="139">
        <f t="shared" si="11"/>
        <v>0</v>
      </c>
      <c r="U59" s="139">
        <f t="shared" si="11"/>
        <v>0</v>
      </c>
      <c r="V59" s="139">
        <f t="shared" si="11"/>
        <v>0</v>
      </c>
      <c r="W59" s="139">
        <f t="shared" si="11"/>
        <v>0</v>
      </c>
      <c r="X59" s="139">
        <f t="shared" si="11"/>
        <v>0</v>
      </c>
      <c r="Y59" s="139">
        <f t="shared" si="11"/>
        <v>0</v>
      </c>
      <c r="Z59" s="139">
        <f t="shared" si="11"/>
        <v>0</v>
      </c>
      <c r="AA59" s="139">
        <f t="shared" si="11"/>
        <v>0</v>
      </c>
      <c r="AB59" s="139">
        <f t="shared" si="11"/>
        <v>0</v>
      </c>
      <c r="AC59" s="139">
        <f t="shared" si="11"/>
        <v>0</v>
      </c>
      <c r="AD59" s="139">
        <f t="shared" si="11"/>
        <v>0</v>
      </c>
      <c r="AE59" s="139">
        <f t="shared" si="11"/>
        <v>0</v>
      </c>
      <c r="AF59" s="139">
        <f t="shared" si="11"/>
        <v>0</v>
      </c>
      <c r="AG59" s="139">
        <f t="shared" si="11"/>
        <v>0</v>
      </c>
      <c r="AH59" s="139">
        <f t="shared" si="11"/>
        <v>0</v>
      </c>
      <c r="AI59" s="139">
        <f t="shared" si="11"/>
        <v>0</v>
      </c>
      <c r="AJ59" s="139">
        <f t="shared" si="11"/>
        <v>0</v>
      </c>
      <c r="AK59" s="139">
        <f t="shared" si="11"/>
        <v>0</v>
      </c>
      <c r="AL59" s="139">
        <f t="shared" si="11"/>
        <v>0</v>
      </c>
      <c r="AM59" s="139">
        <f t="shared" si="11"/>
        <v>0</v>
      </c>
      <c r="AN59" s="139">
        <f t="shared" si="11"/>
        <v>0</v>
      </c>
      <c r="AO59" s="139">
        <f t="shared" si="11"/>
        <v>0</v>
      </c>
    </row>
    <row r="60" spans="1:41" ht="12.75">
      <c r="A60" s="126"/>
      <c r="B60" s="127" t="s">
        <v>197</v>
      </c>
      <c r="C60" s="117">
        <f>+C33</f>
        <v>24039959</v>
      </c>
      <c r="D60" s="117">
        <f aca="true" t="shared" si="12" ref="D60:AO60">+D33</f>
        <v>13756273</v>
      </c>
      <c r="E60" s="117">
        <f t="shared" si="12"/>
        <v>15800000</v>
      </c>
      <c r="F60" s="117">
        <f t="shared" si="12"/>
        <v>5660000</v>
      </c>
      <c r="G60" s="117">
        <f t="shared" si="12"/>
        <v>1160000</v>
      </c>
      <c r="H60" s="117">
        <f t="shared" si="12"/>
        <v>1160000</v>
      </c>
      <c r="I60" s="117">
        <f t="shared" si="12"/>
        <v>1160000</v>
      </c>
      <c r="J60" s="117">
        <f t="shared" si="12"/>
        <v>660000</v>
      </c>
      <c r="K60" s="117">
        <f t="shared" si="12"/>
        <v>660000</v>
      </c>
      <c r="L60" s="117">
        <f t="shared" si="12"/>
        <v>660000</v>
      </c>
      <c r="M60" s="117">
        <f t="shared" si="12"/>
        <v>660000</v>
      </c>
      <c r="N60" s="117">
        <f t="shared" si="12"/>
        <v>660000</v>
      </c>
      <c r="O60" s="117">
        <f t="shared" si="12"/>
        <v>660000</v>
      </c>
      <c r="P60" s="117">
        <f t="shared" si="12"/>
        <v>660000</v>
      </c>
      <c r="Q60" s="117">
        <f t="shared" si="12"/>
        <v>660000</v>
      </c>
      <c r="R60" s="117">
        <f t="shared" si="12"/>
        <v>0</v>
      </c>
      <c r="S60" s="117">
        <f t="shared" si="12"/>
        <v>0</v>
      </c>
      <c r="T60" s="117">
        <f t="shared" si="12"/>
        <v>0</v>
      </c>
      <c r="U60" s="117">
        <f t="shared" si="12"/>
        <v>0</v>
      </c>
      <c r="V60" s="117">
        <f t="shared" si="12"/>
        <v>0</v>
      </c>
      <c r="W60" s="117">
        <f t="shared" si="12"/>
        <v>0</v>
      </c>
      <c r="X60" s="117">
        <f t="shared" si="12"/>
        <v>0</v>
      </c>
      <c r="Y60" s="117">
        <f t="shared" si="12"/>
        <v>0</v>
      </c>
      <c r="Z60" s="117">
        <f t="shared" si="12"/>
        <v>0</v>
      </c>
      <c r="AA60" s="117">
        <f t="shared" si="12"/>
        <v>0</v>
      </c>
      <c r="AB60" s="117">
        <f t="shared" si="12"/>
        <v>0</v>
      </c>
      <c r="AC60" s="117">
        <f t="shared" si="12"/>
        <v>0</v>
      </c>
      <c r="AD60" s="117">
        <f t="shared" si="12"/>
        <v>0</v>
      </c>
      <c r="AE60" s="117">
        <f t="shared" si="12"/>
        <v>0</v>
      </c>
      <c r="AF60" s="117">
        <f t="shared" si="12"/>
        <v>0</v>
      </c>
      <c r="AG60" s="117">
        <f t="shared" si="12"/>
        <v>0</v>
      </c>
      <c r="AH60" s="117">
        <f t="shared" si="12"/>
        <v>0</v>
      </c>
      <c r="AI60" s="117">
        <f t="shared" si="12"/>
        <v>0</v>
      </c>
      <c r="AJ60" s="117">
        <f t="shared" si="12"/>
        <v>0</v>
      </c>
      <c r="AK60" s="117">
        <f t="shared" si="12"/>
        <v>0</v>
      </c>
      <c r="AL60" s="117">
        <f t="shared" si="12"/>
        <v>0</v>
      </c>
      <c r="AM60" s="117">
        <f t="shared" si="12"/>
        <v>0</v>
      </c>
      <c r="AN60" s="117">
        <f t="shared" si="12"/>
        <v>0</v>
      </c>
      <c r="AO60" s="117">
        <f t="shared" si="12"/>
        <v>0</v>
      </c>
    </row>
    <row r="61" spans="1:41" ht="12.75">
      <c r="A61" s="151"/>
      <c r="B61" s="156" t="s">
        <v>195</v>
      </c>
      <c r="C61" s="130">
        <f>+C59-C60</f>
        <v>-11355800</v>
      </c>
      <c r="D61" s="130">
        <f aca="true" t="shared" si="13" ref="D61:AO61">+D59-D60</f>
        <v>4319913</v>
      </c>
      <c r="E61" s="130">
        <f t="shared" si="13"/>
        <v>4319922</v>
      </c>
      <c r="F61" s="130">
        <f t="shared" si="13"/>
        <v>500000</v>
      </c>
      <c r="G61" s="130">
        <f t="shared" si="13"/>
        <v>500000</v>
      </c>
      <c r="H61" s="130">
        <f t="shared" si="13"/>
        <v>500000</v>
      </c>
      <c r="I61" s="130">
        <f t="shared" si="13"/>
        <v>500000</v>
      </c>
      <c r="J61" s="130">
        <f t="shared" si="13"/>
        <v>500000</v>
      </c>
      <c r="K61" s="130">
        <f t="shared" si="13"/>
        <v>500000</v>
      </c>
      <c r="L61" s="130">
        <f t="shared" si="13"/>
        <v>500000</v>
      </c>
      <c r="M61" s="130">
        <f t="shared" si="13"/>
        <v>500000</v>
      </c>
      <c r="N61" s="130">
        <f t="shared" si="13"/>
        <v>500000</v>
      </c>
      <c r="O61" s="130">
        <f t="shared" si="13"/>
        <v>500000</v>
      </c>
      <c r="P61" s="130">
        <f t="shared" si="13"/>
        <v>500000</v>
      </c>
      <c r="Q61" s="130">
        <f t="shared" si="13"/>
        <v>500000</v>
      </c>
      <c r="R61" s="130">
        <f t="shared" si="13"/>
        <v>0</v>
      </c>
      <c r="S61" s="130">
        <f t="shared" si="13"/>
        <v>0</v>
      </c>
      <c r="T61" s="130">
        <f t="shared" si="13"/>
        <v>0</v>
      </c>
      <c r="U61" s="130">
        <f t="shared" si="13"/>
        <v>0</v>
      </c>
      <c r="V61" s="130">
        <f t="shared" si="13"/>
        <v>0</v>
      </c>
      <c r="W61" s="130">
        <f t="shared" si="13"/>
        <v>0</v>
      </c>
      <c r="X61" s="130">
        <f t="shared" si="13"/>
        <v>0</v>
      </c>
      <c r="Y61" s="130">
        <f t="shared" si="13"/>
        <v>0</v>
      </c>
      <c r="Z61" s="130">
        <f t="shared" si="13"/>
        <v>0</v>
      </c>
      <c r="AA61" s="130">
        <f t="shared" si="13"/>
        <v>0</v>
      </c>
      <c r="AB61" s="130">
        <f t="shared" si="13"/>
        <v>0</v>
      </c>
      <c r="AC61" s="130">
        <f t="shared" si="13"/>
        <v>0</v>
      </c>
      <c r="AD61" s="130">
        <f t="shared" si="13"/>
        <v>0</v>
      </c>
      <c r="AE61" s="130">
        <f t="shared" si="13"/>
        <v>0</v>
      </c>
      <c r="AF61" s="130">
        <f t="shared" si="13"/>
        <v>0</v>
      </c>
      <c r="AG61" s="130">
        <f t="shared" si="13"/>
        <v>0</v>
      </c>
      <c r="AH61" s="130">
        <f t="shared" si="13"/>
        <v>0</v>
      </c>
      <c r="AI61" s="130">
        <f t="shared" si="13"/>
        <v>0</v>
      </c>
      <c r="AJ61" s="130">
        <f t="shared" si="13"/>
        <v>0</v>
      </c>
      <c r="AK61" s="130">
        <f t="shared" si="13"/>
        <v>0</v>
      </c>
      <c r="AL61" s="130">
        <f t="shared" si="13"/>
        <v>0</v>
      </c>
      <c r="AM61" s="130">
        <f t="shared" si="13"/>
        <v>0</v>
      </c>
      <c r="AN61" s="130">
        <f t="shared" si="13"/>
        <v>0</v>
      </c>
      <c r="AO61" s="130">
        <f t="shared" si="13"/>
        <v>0</v>
      </c>
    </row>
    <row r="62" spans="1:41" ht="12.75">
      <c r="A62" s="154">
        <v>26</v>
      </c>
      <c r="B62" s="155" t="s">
        <v>153</v>
      </c>
      <c r="C62" s="139">
        <f>88681084</f>
        <v>88681084</v>
      </c>
      <c r="D62" s="139">
        <f>90274501</f>
        <v>90274501</v>
      </c>
      <c r="E62" s="139">
        <f>93189679</f>
        <v>93189679</v>
      </c>
      <c r="F62" s="139">
        <f>81075408</f>
        <v>81075408</v>
      </c>
      <c r="G62" s="139">
        <f>77516470</f>
        <v>77516470</v>
      </c>
      <c r="H62" s="139">
        <f>78455313</f>
        <v>78455313</v>
      </c>
      <c r="I62" s="139">
        <f>79349468</f>
        <v>79349468</v>
      </c>
      <c r="J62" s="139">
        <f>79840975</f>
        <v>79840975</v>
      </c>
      <c r="K62" s="139">
        <f>80780681</f>
        <v>80780681</v>
      </c>
      <c r="L62" s="139">
        <f>81721748</f>
        <v>81721748</v>
      </c>
      <c r="M62" s="139">
        <f>82313281</f>
        <v>82313281</v>
      </c>
      <c r="N62" s="139">
        <f>83279531</f>
        <v>83279531</v>
      </c>
      <c r="O62" s="139">
        <f>84245781</f>
        <v>84245781</v>
      </c>
      <c r="P62" s="139">
        <f>85160000</f>
        <v>85160000</v>
      </c>
      <c r="Q62" s="139">
        <f>86160000</f>
        <v>86160000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99801884</f>
        <v>99801884</v>
      </c>
      <c r="D63" s="117">
        <f>85954588</f>
        <v>85954588</v>
      </c>
      <c r="E63" s="117">
        <f>88869757</f>
        <v>88869757</v>
      </c>
      <c r="F63" s="117">
        <f>78573675</f>
        <v>78573675</v>
      </c>
      <c r="G63" s="117">
        <f>75014737</f>
        <v>75014737</v>
      </c>
      <c r="H63" s="117">
        <f>75953580</f>
        <v>75953580</v>
      </c>
      <c r="I63" s="117">
        <f>76847735</f>
        <v>76847735</v>
      </c>
      <c r="J63" s="117">
        <f>77339242</f>
        <v>77339242</v>
      </c>
      <c r="K63" s="117">
        <f>78278948</f>
        <v>78278948</v>
      </c>
      <c r="L63" s="117">
        <f>79220017</f>
        <v>79220017</v>
      </c>
      <c r="M63" s="117">
        <f>80158813</f>
        <v>80158813</v>
      </c>
      <c r="N63" s="117">
        <f>81125063</f>
        <v>81125063</v>
      </c>
      <c r="O63" s="117">
        <f>82091321</f>
        <v>82091321</v>
      </c>
      <c r="P63" s="117">
        <f>84660000</f>
        <v>84660000</v>
      </c>
      <c r="Q63" s="117">
        <f>85660000</f>
        <v>85660000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-11120800</f>
        <v>-11120800</v>
      </c>
      <c r="D64" s="130">
        <f>4319913</f>
        <v>4319913</v>
      </c>
      <c r="E64" s="130">
        <f>4319922</f>
        <v>4319922</v>
      </c>
      <c r="F64" s="130">
        <f aca="true" t="shared" si="14" ref="F64:K64">2501733</f>
        <v>2501733</v>
      </c>
      <c r="G64" s="130">
        <f t="shared" si="14"/>
        <v>2501733</v>
      </c>
      <c r="H64" s="130">
        <f t="shared" si="14"/>
        <v>2501733</v>
      </c>
      <c r="I64" s="130">
        <f t="shared" si="14"/>
        <v>2501733</v>
      </c>
      <c r="J64" s="130">
        <f t="shared" si="14"/>
        <v>2501733</v>
      </c>
      <c r="K64" s="130">
        <f t="shared" si="14"/>
        <v>2501733</v>
      </c>
      <c r="L64" s="130">
        <f>2501731</f>
        <v>2501731</v>
      </c>
      <c r="M64" s="130">
        <f>2154468</f>
        <v>2154468</v>
      </c>
      <c r="N64" s="130">
        <f>2154468</f>
        <v>2154468</v>
      </c>
      <c r="O64" s="130">
        <f>2154460</f>
        <v>2154460</v>
      </c>
      <c r="P64" s="130">
        <f>500000</f>
        <v>500000</v>
      </c>
      <c r="Q64" s="130">
        <f>500000</f>
        <v>500000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14940713</f>
        <v>14940713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3819913</f>
        <v>3819913</v>
      </c>
      <c r="D66" s="130">
        <f>4319913</f>
        <v>4319913</v>
      </c>
      <c r="E66" s="130">
        <f>4319922</f>
        <v>4319922</v>
      </c>
      <c r="F66" s="130">
        <f aca="true" t="shared" si="15" ref="F66:K66">2501733</f>
        <v>2501733</v>
      </c>
      <c r="G66" s="130">
        <f t="shared" si="15"/>
        <v>2501733</v>
      </c>
      <c r="H66" s="130">
        <f t="shared" si="15"/>
        <v>2501733</v>
      </c>
      <c r="I66" s="130">
        <f t="shared" si="15"/>
        <v>2501733</v>
      </c>
      <c r="J66" s="130">
        <f t="shared" si="15"/>
        <v>2501733</v>
      </c>
      <c r="K66" s="130">
        <f t="shared" si="15"/>
        <v>2501733</v>
      </c>
      <c r="L66" s="130">
        <f>2501731</f>
        <v>2501731</v>
      </c>
      <c r="M66" s="130">
        <f>2154468</f>
        <v>2154468</v>
      </c>
      <c r="N66" s="130">
        <f>2154468</f>
        <v>2154468</v>
      </c>
      <c r="O66" s="130">
        <f>2154460</f>
        <v>2154460</v>
      </c>
      <c r="P66" s="130">
        <f>500000</f>
        <v>500000</v>
      </c>
      <c r="Q66" s="130">
        <f>500000</f>
        <v>500000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27"/>
  <sheetViews>
    <sheetView zoomScalePageLayoutView="0" workbookViewId="0" topLeftCell="H1">
      <selection activeCell="O4" sqref="O4:O52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223000</v>
      </c>
      <c r="E4" s="99">
        <v>0</v>
      </c>
      <c r="F4" s="99"/>
      <c r="G4" s="99">
        <v>54</v>
      </c>
      <c r="H4" s="99">
        <v>27</v>
      </c>
      <c r="I4" s="99" t="s">
        <v>200</v>
      </c>
      <c r="J4" s="99" t="s">
        <v>46</v>
      </c>
      <c r="K4" s="99" t="b">
        <v>0</v>
      </c>
      <c r="L4" s="95">
        <v>2025</v>
      </c>
      <c r="M4" s="96">
        <v>84660000</v>
      </c>
      <c r="N4" s="100">
        <v>41018</v>
      </c>
      <c r="O4" s="100">
        <v>41018</v>
      </c>
    </row>
    <row r="5" spans="1:15" ht="14.25">
      <c r="A5" s="97">
        <v>2012</v>
      </c>
      <c r="B5" s="98" t="s">
        <v>198</v>
      </c>
      <c r="C5" s="98" t="s">
        <v>199</v>
      </c>
      <c r="D5" s="99">
        <v>223000</v>
      </c>
      <c r="E5" s="99">
        <v>0</v>
      </c>
      <c r="F5" s="99"/>
      <c r="G5" s="99">
        <v>57</v>
      </c>
      <c r="H5" s="99">
        <v>30</v>
      </c>
      <c r="I5" s="99" t="s">
        <v>201</v>
      </c>
      <c r="J5" s="99" t="s">
        <v>155</v>
      </c>
      <c r="K5" s="99" t="b">
        <v>0</v>
      </c>
      <c r="L5" s="95">
        <v>2023</v>
      </c>
      <c r="M5" s="96">
        <v>2154468</v>
      </c>
      <c r="N5" s="100">
        <v>41018</v>
      </c>
      <c r="O5" s="100">
        <v>41018</v>
      </c>
    </row>
    <row r="6" spans="1:15" ht="14.25">
      <c r="A6" s="97">
        <v>2012</v>
      </c>
      <c r="B6" s="98" t="s">
        <v>198</v>
      </c>
      <c r="C6" s="98" t="s">
        <v>199</v>
      </c>
      <c r="D6" s="99">
        <v>223000</v>
      </c>
      <c r="E6" s="99">
        <v>0</v>
      </c>
      <c r="F6" s="99"/>
      <c r="G6" s="99">
        <v>44</v>
      </c>
      <c r="H6" s="99">
        <v>20</v>
      </c>
      <c r="I6" s="99" t="s">
        <v>202</v>
      </c>
      <c r="J6" s="99" t="s">
        <v>147</v>
      </c>
      <c r="K6" s="99" t="b">
        <v>1</v>
      </c>
      <c r="L6" s="95">
        <v>2024</v>
      </c>
      <c r="M6" s="96">
        <v>0.0334</v>
      </c>
      <c r="N6" s="100">
        <v>41018</v>
      </c>
      <c r="O6" s="100">
        <v>41018</v>
      </c>
    </row>
    <row r="7" spans="1:15" ht="14.25">
      <c r="A7" s="97">
        <v>2012</v>
      </c>
      <c r="B7" s="98" t="s">
        <v>198</v>
      </c>
      <c r="C7" s="98" t="s">
        <v>199</v>
      </c>
      <c r="D7" s="99">
        <v>223000</v>
      </c>
      <c r="E7" s="99">
        <v>0</v>
      </c>
      <c r="F7" s="99"/>
      <c r="G7" s="99">
        <v>51</v>
      </c>
      <c r="H7" s="99">
        <v>24</v>
      </c>
      <c r="I7" s="99" t="s">
        <v>203</v>
      </c>
      <c r="J7" s="99" t="s">
        <v>152</v>
      </c>
      <c r="K7" s="99" t="b">
        <v>1</v>
      </c>
      <c r="L7" s="95">
        <v>2012</v>
      </c>
      <c r="M7" s="96">
        <v>75761925</v>
      </c>
      <c r="N7" s="100">
        <v>41018</v>
      </c>
      <c r="O7" s="100">
        <v>41018</v>
      </c>
    </row>
    <row r="8" spans="1:15" ht="14.25">
      <c r="A8" s="97">
        <v>2012</v>
      </c>
      <c r="B8" s="98" t="s">
        <v>198</v>
      </c>
      <c r="C8" s="98" t="s">
        <v>199</v>
      </c>
      <c r="D8" s="99">
        <v>223000</v>
      </c>
      <c r="E8" s="99">
        <v>0</v>
      </c>
      <c r="F8" s="99"/>
      <c r="G8" s="99">
        <v>37</v>
      </c>
      <c r="H8" s="99">
        <v>16</v>
      </c>
      <c r="I8" s="99"/>
      <c r="J8" s="99" t="s">
        <v>142</v>
      </c>
      <c r="K8" s="99" t="b">
        <v>1</v>
      </c>
      <c r="L8" s="95">
        <v>2019</v>
      </c>
      <c r="M8" s="96">
        <v>2501733</v>
      </c>
      <c r="N8" s="100">
        <v>41018</v>
      </c>
      <c r="O8" s="100">
        <v>41018</v>
      </c>
    </row>
    <row r="9" spans="1:15" ht="14.25">
      <c r="A9" s="97">
        <v>2012</v>
      </c>
      <c r="B9" s="98" t="s">
        <v>198</v>
      </c>
      <c r="C9" s="98" t="s">
        <v>199</v>
      </c>
      <c r="D9" s="99">
        <v>223000</v>
      </c>
      <c r="E9" s="99">
        <v>0</v>
      </c>
      <c r="F9" s="99"/>
      <c r="G9" s="99">
        <v>49</v>
      </c>
      <c r="H9" s="99" t="s">
        <v>150</v>
      </c>
      <c r="I9" s="99" t="s">
        <v>204</v>
      </c>
      <c r="J9" s="99" t="s">
        <v>81</v>
      </c>
      <c r="K9" s="99" t="b">
        <v>0</v>
      </c>
      <c r="L9" s="95">
        <v>2022</v>
      </c>
      <c r="M9" s="96">
        <v>85</v>
      </c>
      <c r="N9" s="100">
        <v>41018</v>
      </c>
      <c r="O9" s="100">
        <v>41018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223000</v>
      </c>
      <c r="E10" s="99">
        <v>0</v>
      </c>
      <c r="F10" s="99"/>
      <c r="G10" s="99">
        <v>57</v>
      </c>
      <c r="H10" s="99">
        <v>30</v>
      </c>
      <c r="I10" s="99" t="s">
        <v>201</v>
      </c>
      <c r="J10" s="99" t="s">
        <v>155</v>
      </c>
      <c r="K10" s="99" t="b">
        <v>0</v>
      </c>
      <c r="L10" s="95">
        <v>2015</v>
      </c>
      <c r="M10" s="96">
        <v>2501733</v>
      </c>
      <c r="N10" s="100">
        <v>41018</v>
      </c>
      <c r="O10" s="100">
        <v>41018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223000</v>
      </c>
      <c r="E11" s="99">
        <v>0</v>
      </c>
      <c r="F11" s="99"/>
      <c r="G11" s="99">
        <v>21</v>
      </c>
      <c r="H11" s="99" t="s">
        <v>124</v>
      </c>
      <c r="I11" s="99"/>
      <c r="J11" s="99" t="s">
        <v>125</v>
      </c>
      <c r="K11" s="99" t="b">
        <v>1</v>
      </c>
      <c r="L11" s="95">
        <v>2019</v>
      </c>
      <c r="M11" s="96">
        <v>2501733</v>
      </c>
      <c r="N11" s="100">
        <v>41018</v>
      </c>
      <c r="O11" s="100">
        <v>41018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223000</v>
      </c>
      <c r="E12" s="99">
        <v>0</v>
      </c>
      <c r="F12" s="99"/>
      <c r="G12" s="99">
        <v>20</v>
      </c>
      <c r="H12" s="99">
        <v>7</v>
      </c>
      <c r="I12" s="99" t="s">
        <v>205</v>
      </c>
      <c r="J12" s="99" t="s">
        <v>12</v>
      </c>
      <c r="K12" s="99" t="b">
        <v>1</v>
      </c>
      <c r="L12" s="95">
        <v>2014</v>
      </c>
      <c r="M12" s="96">
        <v>5854434</v>
      </c>
      <c r="N12" s="100">
        <v>41018</v>
      </c>
      <c r="O12" s="100">
        <v>41018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223000</v>
      </c>
      <c r="E13" s="99">
        <v>0</v>
      </c>
      <c r="F13" s="99"/>
      <c r="G13" s="99">
        <v>49</v>
      </c>
      <c r="H13" s="99" t="s">
        <v>150</v>
      </c>
      <c r="I13" s="99" t="s">
        <v>204</v>
      </c>
      <c r="J13" s="99" t="s">
        <v>81</v>
      </c>
      <c r="K13" s="99" t="b">
        <v>0</v>
      </c>
      <c r="L13" s="95">
        <v>2025</v>
      </c>
      <c r="M13" s="96">
        <v>273</v>
      </c>
      <c r="N13" s="100">
        <v>41018</v>
      </c>
      <c r="O13" s="100">
        <v>41018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223000</v>
      </c>
      <c r="E14" s="99">
        <v>0</v>
      </c>
      <c r="F14" s="99"/>
      <c r="G14" s="99">
        <v>33</v>
      </c>
      <c r="H14" s="99">
        <v>13</v>
      </c>
      <c r="I14" s="99"/>
      <c r="J14" s="99" t="s">
        <v>68</v>
      </c>
      <c r="K14" s="99" t="b">
        <v>1</v>
      </c>
      <c r="L14" s="95">
        <v>2022</v>
      </c>
      <c r="M14" s="96">
        <v>5308928</v>
      </c>
      <c r="N14" s="100">
        <v>41018</v>
      </c>
      <c r="O14" s="100">
        <v>41018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223000</v>
      </c>
      <c r="E15" s="99">
        <v>0</v>
      </c>
      <c r="F15" s="99"/>
      <c r="G15" s="99">
        <v>23</v>
      </c>
      <c r="H15" s="99" t="s">
        <v>128</v>
      </c>
      <c r="I15" s="99"/>
      <c r="J15" s="99" t="s">
        <v>129</v>
      </c>
      <c r="K15" s="99" t="b">
        <v>1</v>
      </c>
      <c r="L15" s="95">
        <v>2020</v>
      </c>
      <c r="M15" s="96">
        <v>645858</v>
      </c>
      <c r="N15" s="100">
        <v>41018</v>
      </c>
      <c r="O15" s="100">
        <v>41018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223000</v>
      </c>
      <c r="E16" s="99">
        <v>0</v>
      </c>
      <c r="F16" s="99"/>
      <c r="G16" s="99">
        <v>37</v>
      </c>
      <c r="H16" s="99">
        <v>16</v>
      </c>
      <c r="I16" s="99"/>
      <c r="J16" s="99" t="s">
        <v>142</v>
      </c>
      <c r="K16" s="99" t="b">
        <v>1</v>
      </c>
      <c r="L16" s="95">
        <v>2017</v>
      </c>
      <c r="M16" s="96">
        <v>2501733</v>
      </c>
      <c r="N16" s="100">
        <v>41018</v>
      </c>
      <c r="O16" s="100">
        <v>41018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223000</v>
      </c>
      <c r="E17" s="99">
        <v>0</v>
      </c>
      <c r="F17" s="99"/>
      <c r="G17" s="99">
        <v>1</v>
      </c>
      <c r="H17" s="99">
        <v>1</v>
      </c>
      <c r="I17" s="99" t="s">
        <v>206</v>
      </c>
      <c r="J17" s="99" t="s">
        <v>95</v>
      </c>
      <c r="K17" s="99" t="b">
        <v>1</v>
      </c>
      <c r="L17" s="95">
        <v>2022</v>
      </c>
      <c r="M17" s="96">
        <v>82313281</v>
      </c>
      <c r="N17" s="100">
        <v>41018</v>
      </c>
      <c r="O17" s="100">
        <v>41018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223000</v>
      </c>
      <c r="E18" s="99">
        <v>0</v>
      </c>
      <c r="F18" s="99"/>
      <c r="G18" s="99">
        <v>4</v>
      </c>
      <c r="H18" s="99" t="s">
        <v>100</v>
      </c>
      <c r="I18" s="99"/>
      <c r="J18" s="99" t="s">
        <v>101</v>
      </c>
      <c r="K18" s="99" t="b">
        <v>1</v>
      </c>
      <c r="L18" s="95">
        <v>2014</v>
      </c>
      <c r="M18" s="96">
        <v>20119922</v>
      </c>
      <c r="N18" s="100">
        <v>41018</v>
      </c>
      <c r="O18" s="100">
        <v>41018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223000</v>
      </c>
      <c r="E19" s="99">
        <v>0</v>
      </c>
      <c r="F19" s="99"/>
      <c r="G19" s="99">
        <v>1</v>
      </c>
      <c r="H19" s="99">
        <v>1</v>
      </c>
      <c r="I19" s="99" t="s">
        <v>206</v>
      </c>
      <c r="J19" s="99" t="s">
        <v>95</v>
      </c>
      <c r="K19" s="99" t="b">
        <v>1</v>
      </c>
      <c r="L19" s="95">
        <v>2015</v>
      </c>
      <c r="M19" s="96">
        <v>81075408</v>
      </c>
      <c r="N19" s="100">
        <v>41018</v>
      </c>
      <c r="O19" s="100">
        <v>41018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223000</v>
      </c>
      <c r="E20" s="99">
        <v>0</v>
      </c>
      <c r="F20" s="99"/>
      <c r="G20" s="99">
        <v>4</v>
      </c>
      <c r="H20" s="99" t="s">
        <v>100</v>
      </c>
      <c r="I20" s="99"/>
      <c r="J20" s="99" t="s">
        <v>101</v>
      </c>
      <c r="K20" s="99" t="b">
        <v>1</v>
      </c>
      <c r="L20" s="95">
        <v>2021</v>
      </c>
      <c r="M20" s="96">
        <v>1160000</v>
      </c>
      <c r="N20" s="100">
        <v>41018</v>
      </c>
      <c r="O20" s="100">
        <v>41018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223000</v>
      </c>
      <c r="E21" s="99">
        <v>0</v>
      </c>
      <c r="F21" s="99"/>
      <c r="G21" s="99">
        <v>42</v>
      </c>
      <c r="H21" s="99">
        <v>19</v>
      </c>
      <c r="I21" s="99" t="s">
        <v>207</v>
      </c>
      <c r="J21" s="99" t="s">
        <v>74</v>
      </c>
      <c r="K21" s="99" t="b">
        <v>1</v>
      </c>
      <c r="L21" s="95">
        <v>2016</v>
      </c>
      <c r="M21" s="96">
        <v>0.0479</v>
      </c>
      <c r="N21" s="100">
        <v>41018</v>
      </c>
      <c r="O21" s="100">
        <v>41018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223000</v>
      </c>
      <c r="E22" s="99">
        <v>0</v>
      </c>
      <c r="F22" s="99"/>
      <c r="G22" s="99">
        <v>8</v>
      </c>
      <c r="H22" s="99" t="s">
        <v>106</v>
      </c>
      <c r="I22" s="99"/>
      <c r="J22" s="99" t="s">
        <v>107</v>
      </c>
      <c r="K22" s="99" t="b">
        <v>0</v>
      </c>
      <c r="L22" s="95">
        <v>2023</v>
      </c>
      <c r="M22" s="96">
        <v>34800000</v>
      </c>
      <c r="N22" s="100">
        <v>41018</v>
      </c>
      <c r="O22" s="100">
        <v>41018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223000</v>
      </c>
      <c r="E23" s="99">
        <v>0</v>
      </c>
      <c r="F23" s="99"/>
      <c r="G23" s="99">
        <v>43</v>
      </c>
      <c r="H23" s="99" t="s">
        <v>146</v>
      </c>
      <c r="I23" s="99" t="s">
        <v>208</v>
      </c>
      <c r="J23" s="99" t="s">
        <v>76</v>
      </c>
      <c r="K23" s="99" t="b">
        <v>0</v>
      </c>
      <c r="L23" s="95">
        <v>2020</v>
      </c>
      <c r="M23" s="96">
        <v>0.039</v>
      </c>
      <c r="N23" s="100">
        <v>41018</v>
      </c>
      <c r="O23" s="100">
        <v>41018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223000</v>
      </c>
      <c r="E24" s="99">
        <v>0</v>
      </c>
      <c r="F24" s="99"/>
      <c r="G24" s="99">
        <v>47</v>
      </c>
      <c r="H24" s="99" t="s">
        <v>149</v>
      </c>
      <c r="I24" s="99" t="s">
        <v>209</v>
      </c>
      <c r="J24" s="99" t="s">
        <v>78</v>
      </c>
      <c r="K24" s="99" t="b">
        <v>0</v>
      </c>
      <c r="L24" s="95">
        <v>2025</v>
      </c>
      <c r="M24" s="96">
        <v>273</v>
      </c>
      <c r="N24" s="100">
        <v>41018</v>
      </c>
      <c r="O24" s="100">
        <v>41018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223000</v>
      </c>
      <c r="E25" s="99">
        <v>0</v>
      </c>
      <c r="F25" s="99"/>
      <c r="G25" s="99">
        <v>45</v>
      </c>
      <c r="H25" s="99" t="s">
        <v>148</v>
      </c>
      <c r="I25" s="99" t="s">
        <v>210</v>
      </c>
      <c r="J25" s="99" t="s">
        <v>53</v>
      </c>
      <c r="K25" s="99" t="b">
        <v>0</v>
      </c>
      <c r="L25" s="95">
        <v>2016</v>
      </c>
      <c r="M25" s="96">
        <v>0.1713</v>
      </c>
      <c r="N25" s="100">
        <v>41018</v>
      </c>
      <c r="O25" s="100">
        <v>41018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223000</v>
      </c>
      <c r="E26" s="99">
        <v>0</v>
      </c>
      <c r="F26" s="99"/>
      <c r="G26" s="99">
        <v>21</v>
      </c>
      <c r="H26" s="99" t="s">
        <v>124</v>
      </c>
      <c r="I26" s="99"/>
      <c r="J26" s="99" t="s">
        <v>125</v>
      </c>
      <c r="K26" s="99" t="b">
        <v>1</v>
      </c>
      <c r="L26" s="95">
        <v>2021</v>
      </c>
      <c r="M26" s="96">
        <v>2501731</v>
      </c>
      <c r="N26" s="100">
        <v>41018</v>
      </c>
      <c r="O26" s="100">
        <v>41018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223000</v>
      </c>
      <c r="E27" s="99">
        <v>0</v>
      </c>
      <c r="F27" s="99"/>
      <c r="G27" s="99">
        <v>9</v>
      </c>
      <c r="H27" s="99" t="s">
        <v>108</v>
      </c>
      <c r="I27" s="99"/>
      <c r="J27" s="99" t="s">
        <v>109</v>
      </c>
      <c r="K27" s="99" t="b">
        <v>0</v>
      </c>
      <c r="L27" s="95">
        <v>2025</v>
      </c>
      <c r="M27" s="96">
        <v>12850000</v>
      </c>
      <c r="N27" s="100">
        <v>41018</v>
      </c>
      <c r="O27" s="100">
        <v>41018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223000</v>
      </c>
      <c r="E28" s="99">
        <v>0</v>
      </c>
      <c r="F28" s="99"/>
      <c r="G28" s="99">
        <v>19</v>
      </c>
      <c r="H28" s="99">
        <v>6</v>
      </c>
      <c r="I28" s="99" t="s">
        <v>211</v>
      </c>
      <c r="J28" s="99" t="s">
        <v>123</v>
      </c>
      <c r="K28" s="99" t="b">
        <v>0</v>
      </c>
      <c r="L28" s="95">
        <v>2013</v>
      </c>
      <c r="M28" s="96">
        <v>19831430</v>
      </c>
      <c r="N28" s="100">
        <v>41018</v>
      </c>
      <c r="O28" s="100">
        <v>41018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223000</v>
      </c>
      <c r="E29" s="99">
        <v>0</v>
      </c>
      <c r="F29" s="99"/>
      <c r="G29" s="99">
        <v>41</v>
      </c>
      <c r="H29" s="99" t="s">
        <v>145</v>
      </c>
      <c r="I29" s="99" t="s">
        <v>212</v>
      </c>
      <c r="J29" s="99" t="s">
        <v>73</v>
      </c>
      <c r="K29" s="99" t="b">
        <v>0</v>
      </c>
      <c r="L29" s="95">
        <v>2021</v>
      </c>
      <c r="M29" s="96">
        <v>0.0913</v>
      </c>
      <c r="N29" s="100">
        <v>41018</v>
      </c>
      <c r="O29" s="100">
        <v>41018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223000</v>
      </c>
      <c r="E30" s="99">
        <v>0</v>
      </c>
      <c r="F30" s="99"/>
      <c r="G30" s="99">
        <v>2</v>
      </c>
      <c r="H30" s="99" t="s">
        <v>96</v>
      </c>
      <c r="I30" s="99"/>
      <c r="J30" s="99" t="s">
        <v>97</v>
      </c>
      <c r="K30" s="99" t="b">
        <v>1</v>
      </c>
      <c r="L30" s="95">
        <v>2019</v>
      </c>
      <c r="M30" s="96">
        <v>78680975</v>
      </c>
      <c r="N30" s="100">
        <v>41018</v>
      </c>
      <c r="O30" s="100">
        <v>41018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223000</v>
      </c>
      <c r="E31" s="99">
        <v>0</v>
      </c>
      <c r="F31" s="99"/>
      <c r="G31" s="99">
        <v>41</v>
      </c>
      <c r="H31" s="99" t="s">
        <v>145</v>
      </c>
      <c r="I31" s="99" t="s">
        <v>212</v>
      </c>
      <c r="J31" s="99" t="s">
        <v>73</v>
      </c>
      <c r="K31" s="99" t="b">
        <v>0</v>
      </c>
      <c r="L31" s="95">
        <v>2014</v>
      </c>
      <c r="M31" s="96">
        <v>0.3002</v>
      </c>
      <c r="N31" s="100">
        <v>41018</v>
      </c>
      <c r="O31" s="100">
        <v>41018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223000</v>
      </c>
      <c r="E32" s="99">
        <v>0</v>
      </c>
      <c r="F32" s="99"/>
      <c r="G32" s="99">
        <v>4</v>
      </c>
      <c r="H32" s="99" t="s">
        <v>100</v>
      </c>
      <c r="I32" s="99"/>
      <c r="J32" s="99" t="s">
        <v>101</v>
      </c>
      <c r="K32" s="99" t="b">
        <v>1</v>
      </c>
      <c r="L32" s="95">
        <v>2016</v>
      </c>
      <c r="M32" s="96">
        <v>1660000</v>
      </c>
      <c r="N32" s="100">
        <v>41018</v>
      </c>
      <c r="O32" s="100">
        <v>41018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223000</v>
      </c>
      <c r="E33" s="99">
        <v>0</v>
      </c>
      <c r="F33" s="99"/>
      <c r="G33" s="99">
        <v>9</v>
      </c>
      <c r="H33" s="99" t="s">
        <v>108</v>
      </c>
      <c r="I33" s="99"/>
      <c r="J33" s="99" t="s">
        <v>109</v>
      </c>
      <c r="K33" s="99" t="b">
        <v>0</v>
      </c>
      <c r="L33" s="95">
        <v>2019</v>
      </c>
      <c r="M33" s="96">
        <v>12300000</v>
      </c>
      <c r="N33" s="100">
        <v>41018</v>
      </c>
      <c r="O33" s="100">
        <v>41018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223000</v>
      </c>
      <c r="E34" s="99">
        <v>0</v>
      </c>
      <c r="F34" s="99"/>
      <c r="G34" s="99">
        <v>19</v>
      </c>
      <c r="H34" s="99">
        <v>6</v>
      </c>
      <c r="I34" s="99" t="s">
        <v>211</v>
      </c>
      <c r="J34" s="99" t="s">
        <v>123</v>
      </c>
      <c r="K34" s="99" t="b">
        <v>0</v>
      </c>
      <c r="L34" s="95">
        <v>2025</v>
      </c>
      <c r="M34" s="96">
        <v>1212031</v>
      </c>
      <c r="N34" s="100">
        <v>41018</v>
      </c>
      <c r="O34" s="100">
        <v>41018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223000</v>
      </c>
      <c r="E35" s="99">
        <v>0</v>
      </c>
      <c r="F35" s="99"/>
      <c r="G35" s="99">
        <v>51</v>
      </c>
      <c r="H35" s="99">
        <v>24</v>
      </c>
      <c r="I35" s="99" t="s">
        <v>203</v>
      </c>
      <c r="J35" s="99" t="s">
        <v>152</v>
      </c>
      <c r="K35" s="99" t="b">
        <v>1</v>
      </c>
      <c r="L35" s="95">
        <v>2019</v>
      </c>
      <c r="M35" s="96">
        <v>76679242</v>
      </c>
      <c r="N35" s="100">
        <v>41018</v>
      </c>
      <c r="O35" s="100">
        <v>41018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223000</v>
      </c>
      <c r="E36" s="99">
        <v>0</v>
      </c>
      <c r="F36" s="99"/>
      <c r="G36" s="99">
        <v>37</v>
      </c>
      <c r="H36" s="99">
        <v>16</v>
      </c>
      <c r="I36" s="99"/>
      <c r="J36" s="99" t="s">
        <v>142</v>
      </c>
      <c r="K36" s="99" t="b">
        <v>1</v>
      </c>
      <c r="L36" s="95">
        <v>2026</v>
      </c>
      <c r="M36" s="96">
        <v>500000</v>
      </c>
      <c r="N36" s="100">
        <v>41018</v>
      </c>
      <c r="O36" s="100">
        <v>41018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223000</v>
      </c>
      <c r="E37" s="99">
        <v>0</v>
      </c>
      <c r="F37" s="99"/>
      <c r="G37" s="99">
        <v>46</v>
      </c>
      <c r="H37" s="99">
        <v>21</v>
      </c>
      <c r="I37" s="99" t="s">
        <v>213</v>
      </c>
      <c r="J37" s="99" t="s">
        <v>54</v>
      </c>
      <c r="K37" s="99" t="b">
        <v>1</v>
      </c>
      <c r="L37" s="95">
        <v>2023</v>
      </c>
      <c r="M37" s="96">
        <v>0.0287</v>
      </c>
      <c r="N37" s="100">
        <v>41018</v>
      </c>
      <c r="O37" s="100">
        <v>41018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223000</v>
      </c>
      <c r="E38" s="99">
        <v>0</v>
      </c>
      <c r="F38" s="99"/>
      <c r="G38" s="99">
        <v>54</v>
      </c>
      <c r="H38" s="99">
        <v>27</v>
      </c>
      <c r="I38" s="99" t="s">
        <v>200</v>
      </c>
      <c r="J38" s="99" t="s">
        <v>46</v>
      </c>
      <c r="K38" s="99" t="b">
        <v>0</v>
      </c>
      <c r="L38" s="95">
        <v>2012</v>
      </c>
      <c r="M38" s="96">
        <v>99801884</v>
      </c>
      <c r="N38" s="100">
        <v>41018</v>
      </c>
      <c r="O38" s="100">
        <v>41018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223000</v>
      </c>
      <c r="E39" s="99">
        <v>0</v>
      </c>
      <c r="F39" s="99"/>
      <c r="G39" s="99">
        <v>40</v>
      </c>
      <c r="H39" s="99">
        <v>18</v>
      </c>
      <c r="I39" s="99" t="s">
        <v>214</v>
      </c>
      <c r="J39" s="99" t="s">
        <v>71</v>
      </c>
      <c r="K39" s="99" t="b">
        <v>0</v>
      </c>
      <c r="L39" s="95">
        <v>2015</v>
      </c>
      <c r="M39" s="96">
        <v>0.2772</v>
      </c>
      <c r="N39" s="100">
        <v>41018</v>
      </c>
      <c r="O39" s="100">
        <v>41018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223000</v>
      </c>
      <c r="E40" s="99">
        <v>0</v>
      </c>
      <c r="F40" s="99"/>
      <c r="G40" s="99">
        <v>3</v>
      </c>
      <c r="H40" s="99" t="s">
        <v>98</v>
      </c>
      <c r="I40" s="99"/>
      <c r="J40" s="99" t="s">
        <v>99</v>
      </c>
      <c r="K40" s="99" t="b">
        <v>1</v>
      </c>
      <c r="L40" s="95">
        <v>2012</v>
      </c>
      <c r="M40" s="96">
        <v>458280</v>
      </c>
      <c r="N40" s="100">
        <v>41018</v>
      </c>
      <c r="O40" s="100">
        <v>41018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223000</v>
      </c>
      <c r="E41" s="99">
        <v>0</v>
      </c>
      <c r="F41" s="99"/>
      <c r="G41" s="99">
        <v>9</v>
      </c>
      <c r="H41" s="99" t="s">
        <v>108</v>
      </c>
      <c r="I41" s="99"/>
      <c r="J41" s="99" t="s">
        <v>109</v>
      </c>
      <c r="K41" s="99" t="b">
        <v>0</v>
      </c>
      <c r="L41" s="95">
        <v>2020</v>
      </c>
      <c r="M41" s="96">
        <v>12400000</v>
      </c>
      <c r="N41" s="100">
        <v>41018</v>
      </c>
      <c r="O41" s="100">
        <v>41018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223000</v>
      </c>
      <c r="E42" s="99">
        <v>0</v>
      </c>
      <c r="F42" s="99"/>
      <c r="G42" s="99">
        <v>50</v>
      </c>
      <c r="H42" s="99">
        <v>23</v>
      </c>
      <c r="I42" s="99" t="s">
        <v>215</v>
      </c>
      <c r="J42" s="99" t="s">
        <v>151</v>
      </c>
      <c r="K42" s="99" t="b">
        <v>1</v>
      </c>
      <c r="L42" s="95">
        <v>2016</v>
      </c>
      <c r="M42" s="96">
        <v>75856470</v>
      </c>
      <c r="N42" s="100">
        <v>41018</v>
      </c>
      <c r="O42" s="100">
        <v>41018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223000</v>
      </c>
      <c r="E43" s="99">
        <v>0</v>
      </c>
      <c r="F43" s="99"/>
      <c r="G43" s="99">
        <v>34</v>
      </c>
      <c r="H43" s="99" t="s">
        <v>139</v>
      </c>
      <c r="I43" s="99"/>
      <c r="J43" s="99" t="s">
        <v>140</v>
      </c>
      <c r="K43" s="99" t="b">
        <v>1</v>
      </c>
      <c r="L43" s="95">
        <v>2013</v>
      </c>
      <c r="M43" s="96">
        <v>5500000</v>
      </c>
      <c r="N43" s="100">
        <v>41018</v>
      </c>
      <c r="O43" s="100">
        <v>41018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223000</v>
      </c>
      <c r="E44" s="99">
        <v>0</v>
      </c>
      <c r="F44" s="99"/>
      <c r="G44" s="99">
        <v>43</v>
      </c>
      <c r="H44" s="99" t="s">
        <v>146</v>
      </c>
      <c r="I44" s="99" t="s">
        <v>208</v>
      </c>
      <c r="J44" s="99" t="s">
        <v>76</v>
      </c>
      <c r="K44" s="99" t="b">
        <v>0</v>
      </c>
      <c r="L44" s="95">
        <v>2019</v>
      </c>
      <c r="M44" s="96">
        <v>0.0412</v>
      </c>
      <c r="N44" s="100">
        <v>41018</v>
      </c>
      <c r="O44" s="100">
        <v>41018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223000</v>
      </c>
      <c r="E45" s="99">
        <v>0</v>
      </c>
      <c r="F45" s="99"/>
      <c r="G45" s="99">
        <v>45</v>
      </c>
      <c r="H45" s="99" t="s">
        <v>148</v>
      </c>
      <c r="I45" s="99" t="s">
        <v>210</v>
      </c>
      <c r="J45" s="99" t="s">
        <v>53</v>
      </c>
      <c r="K45" s="99" t="b">
        <v>0</v>
      </c>
      <c r="L45" s="95">
        <v>2020</v>
      </c>
      <c r="M45" s="96">
        <v>0.0441</v>
      </c>
      <c r="N45" s="100">
        <v>41018</v>
      </c>
      <c r="O45" s="100">
        <v>41018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223000</v>
      </c>
      <c r="E46" s="99">
        <v>0</v>
      </c>
      <c r="F46" s="99"/>
      <c r="G46" s="99">
        <v>52</v>
      </c>
      <c r="H46" s="99">
        <v>25</v>
      </c>
      <c r="I46" s="99" t="s">
        <v>216</v>
      </c>
      <c r="J46" s="99" t="s">
        <v>49</v>
      </c>
      <c r="K46" s="99" t="b">
        <v>1</v>
      </c>
      <c r="L46" s="95">
        <v>2017</v>
      </c>
      <c r="M46" s="96">
        <v>2001733</v>
      </c>
      <c r="N46" s="100">
        <v>41018</v>
      </c>
      <c r="O46" s="100">
        <v>41018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223000</v>
      </c>
      <c r="E47" s="99">
        <v>0</v>
      </c>
      <c r="F47" s="99"/>
      <c r="G47" s="99">
        <v>4</v>
      </c>
      <c r="H47" s="99" t="s">
        <v>100</v>
      </c>
      <c r="I47" s="99"/>
      <c r="J47" s="99" t="s">
        <v>101</v>
      </c>
      <c r="K47" s="99" t="b">
        <v>1</v>
      </c>
      <c r="L47" s="95">
        <v>2025</v>
      </c>
      <c r="M47" s="96">
        <v>1160000</v>
      </c>
      <c r="N47" s="100">
        <v>41018</v>
      </c>
      <c r="O47" s="100">
        <v>41018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223000</v>
      </c>
      <c r="E48" s="99">
        <v>0</v>
      </c>
      <c r="F48" s="99"/>
      <c r="G48" s="99">
        <v>14</v>
      </c>
      <c r="H48" s="99">
        <v>3</v>
      </c>
      <c r="I48" s="99" t="s">
        <v>217</v>
      </c>
      <c r="J48" s="99" t="s">
        <v>118</v>
      </c>
      <c r="K48" s="99" t="b">
        <v>1</v>
      </c>
      <c r="L48" s="95">
        <v>2013</v>
      </c>
      <c r="M48" s="96">
        <v>19831430</v>
      </c>
      <c r="N48" s="100">
        <v>41018</v>
      </c>
      <c r="O48" s="100">
        <v>41018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223000</v>
      </c>
      <c r="E49" s="99">
        <v>0</v>
      </c>
      <c r="F49" s="99"/>
      <c r="G49" s="99">
        <v>45</v>
      </c>
      <c r="H49" s="99" t="s">
        <v>148</v>
      </c>
      <c r="I49" s="99" t="s">
        <v>210</v>
      </c>
      <c r="J49" s="99" t="s">
        <v>53</v>
      </c>
      <c r="K49" s="99" t="b">
        <v>0</v>
      </c>
      <c r="L49" s="95">
        <v>2014</v>
      </c>
      <c r="M49" s="96">
        <v>0.1177</v>
      </c>
      <c r="N49" s="100">
        <v>41018</v>
      </c>
      <c r="O49" s="100">
        <v>41018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223000</v>
      </c>
      <c r="E50" s="99">
        <v>0</v>
      </c>
      <c r="F50" s="99"/>
      <c r="G50" s="99">
        <v>13</v>
      </c>
      <c r="H50" s="99" t="s">
        <v>116</v>
      </c>
      <c r="I50" s="99"/>
      <c r="J50" s="99" t="s">
        <v>117</v>
      </c>
      <c r="K50" s="99" t="b">
        <v>0</v>
      </c>
      <c r="L50" s="95">
        <v>2013</v>
      </c>
      <c r="M50" s="96">
        <v>168320</v>
      </c>
      <c r="N50" s="100">
        <v>41018</v>
      </c>
      <c r="O50" s="100">
        <v>41018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223000</v>
      </c>
      <c r="E51" s="99">
        <v>0</v>
      </c>
      <c r="F51" s="99"/>
      <c r="G51" s="99">
        <v>49</v>
      </c>
      <c r="H51" s="99" t="s">
        <v>150</v>
      </c>
      <c r="I51" s="99" t="s">
        <v>204</v>
      </c>
      <c r="J51" s="99" t="s">
        <v>81</v>
      </c>
      <c r="K51" s="99" t="b">
        <v>0</v>
      </c>
      <c r="L51" s="95">
        <v>2012</v>
      </c>
      <c r="M51" s="96">
        <v>283</v>
      </c>
      <c r="N51" s="100">
        <v>41018</v>
      </c>
      <c r="O51" s="100">
        <v>41018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223000</v>
      </c>
      <c r="E52" s="99">
        <v>0</v>
      </c>
      <c r="F52" s="99"/>
      <c r="G52" s="99">
        <v>49</v>
      </c>
      <c r="H52" s="99" t="s">
        <v>150</v>
      </c>
      <c r="I52" s="99" t="s">
        <v>204</v>
      </c>
      <c r="J52" s="99" t="s">
        <v>81</v>
      </c>
      <c r="K52" s="99" t="b">
        <v>0</v>
      </c>
      <c r="L52" s="95">
        <v>2020</v>
      </c>
      <c r="M52" s="96">
        <v>51</v>
      </c>
      <c r="N52" s="100">
        <v>41018</v>
      </c>
      <c r="O52" s="100">
        <v>41018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223000</v>
      </c>
      <c r="E53" s="99">
        <v>0</v>
      </c>
      <c r="F53" s="99"/>
      <c r="G53" s="99">
        <v>33</v>
      </c>
      <c r="H53" s="99">
        <v>13</v>
      </c>
      <c r="I53" s="99"/>
      <c r="J53" s="99" t="s">
        <v>68</v>
      </c>
      <c r="K53" s="99" t="b">
        <v>1</v>
      </c>
      <c r="L53" s="95">
        <v>2014</v>
      </c>
      <c r="M53" s="96">
        <v>27975525</v>
      </c>
      <c r="N53" s="100">
        <v>41018</v>
      </c>
      <c r="O53" s="100">
        <v>41018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223000</v>
      </c>
      <c r="E54" s="99">
        <v>0</v>
      </c>
      <c r="F54" s="99"/>
      <c r="G54" s="99">
        <v>33</v>
      </c>
      <c r="H54" s="99">
        <v>13</v>
      </c>
      <c r="I54" s="99"/>
      <c r="J54" s="99" t="s">
        <v>68</v>
      </c>
      <c r="K54" s="99" t="b">
        <v>1</v>
      </c>
      <c r="L54" s="95">
        <v>2012</v>
      </c>
      <c r="M54" s="96">
        <v>41615360</v>
      </c>
      <c r="N54" s="100">
        <v>41018</v>
      </c>
      <c r="O54" s="100">
        <v>41018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223000</v>
      </c>
      <c r="E55" s="99">
        <v>0</v>
      </c>
      <c r="F55" s="99"/>
      <c r="G55" s="99">
        <v>14</v>
      </c>
      <c r="H55" s="99">
        <v>3</v>
      </c>
      <c r="I55" s="99" t="s">
        <v>217</v>
      </c>
      <c r="J55" s="99" t="s">
        <v>118</v>
      </c>
      <c r="K55" s="99" t="b">
        <v>1</v>
      </c>
      <c r="L55" s="95">
        <v>2014</v>
      </c>
      <c r="M55" s="96">
        <v>21654434</v>
      </c>
      <c r="N55" s="100">
        <v>41018</v>
      </c>
      <c r="O55" s="100">
        <v>41018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223000</v>
      </c>
      <c r="E56" s="99">
        <v>0</v>
      </c>
      <c r="F56" s="99"/>
      <c r="G56" s="99">
        <v>2</v>
      </c>
      <c r="H56" s="99" t="s">
        <v>96</v>
      </c>
      <c r="I56" s="99"/>
      <c r="J56" s="99" t="s">
        <v>97</v>
      </c>
      <c r="K56" s="99" t="b">
        <v>1</v>
      </c>
      <c r="L56" s="95">
        <v>2013</v>
      </c>
      <c r="M56" s="96">
        <v>72198315</v>
      </c>
      <c r="N56" s="100">
        <v>41018</v>
      </c>
      <c r="O56" s="100">
        <v>41018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223000</v>
      </c>
      <c r="E57" s="99">
        <v>0</v>
      </c>
      <c r="F57" s="99"/>
      <c r="G57" s="99">
        <v>24</v>
      </c>
      <c r="H57" s="99" t="s">
        <v>130</v>
      </c>
      <c r="I57" s="99"/>
      <c r="J57" s="99" t="s">
        <v>131</v>
      </c>
      <c r="K57" s="99" t="b">
        <v>1</v>
      </c>
      <c r="L57" s="95">
        <v>2014</v>
      </c>
      <c r="M57" s="96">
        <v>1534512</v>
      </c>
      <c r="N57" s="100">
        <v>41018</v>
      </c>
      <c r="O57" s="100">
        <v>41018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223000</v>
      </c>
      <c r="E58" s="99">
        <v>0</v>
      </c>
      <c r="F58" s="99"/>
      <c r="G58" s="99">
        <v>8</v>
      </c>
      <c r="H58" s="99" t="s">
        <v>106</v>
      </c>
      <c r="I58" s="99"/>
      <c r="J58" s="99" t="s">
        <v>107</v>
      </c>
      <c r="K58" s="99" t="b">
        <v>0</v>
      </c>
      <c r="L58" s="95">
        <v>2015</v>
      </c>
      <c r="M58" s="96">
        <v>30100000</v>
      </c>
      <c r="N58" s="100">
        <v>41018</v>
      </c>
      <c r="O58" s="100">
        <v>41018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223000</v>
      </c>
      <c r="E59" s="99">
        <v>0</v>
      </c>
      <c r="F59" s="99"/>
      <c r="G59" s="99">
        <v>55</v>
      </c>
      <c r="H59" s="99">
        <v>28</v>
      </c>
      <c r="I59" s="99" t="s">
        <v>218</v>
      </c>
      <c r="J59" s="99" t="s">
        <v>48</v>
      </c>
      <c r="K59" s="99" t="b">
        <v>0</v>
      </c>
      <c r="L59" s="95">
        <v>2025</v>
      </c>
      <c r="M59" s="96">
        <v>500000</v>
      </c>
      <c r="N59" s="100">
        <v>41018</v>
      </c>
      <c r="O59" s="100">
        <v>41018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223000</v>
      </c>
      <c r="E60" s="99">
        <v>0</v>
      </c>
      <c r="F60" s="99"/>
      <c r="G60" s="99">
        <v>21</v>
      </c>
      <c r="H60" s="99" t="s">
        <v>124</v>
      </c>
      <c r="I60" s="99"/>
      <c r="J60" s="99" t="s">
        <v>125</v>
      </c>
      <c r="K60" s="99" t="b">
        <v>1</v>
      </c>
      <c r="L60" s="95">
        <v>2023</v>
      </c>
      <c r="M60" s="96">
        <v>2154468</v>
      </c>
      <c r="N60" s="100">
        <v>41018</v>
      </c>
      <c r="O60" s="100">
        <v>41018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223000</v>
      </c>
      <c r="E61" s="99">
        <v>0</v>
      </c>
      <c r="F61" s="99"/>
      <c r="G61" s="99">
        <v>21</v>
      </c>
      <c r="H61" s="99" t="s">
        <v>124</v>
      </c>
      <c r="I61" s="99"/>
      <c r="J61" s="99" t="s">
        <v>125</v>
      </c>
      <c r="K61" s="99" t="b">
        <v>1</v>
      </c>
      <c r="L61" s="95">
        <v>2017</v>
      </c>
      <c r="M61" s="96">
        <v>2501733</v>
      </c>
      <c r="N61" s="100">
        <v>41018</v>
      </c>
      <c r="O61" s="100">
        <v>41018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223000</v>
      </c>
      <c r="E62" s="99">
        <v>0</v>
      </c>
      <c r="F62" s="99"/>
      <c r="G62" s="99">
        <v>47</v>
      </c>
      <c r="H62" s="99" t="s">
        <v>149</v>
      </c>
      <c r="I62" s="99" t="s">
        <v>209</v>
      </c>
      <c r="J62" s="99" t="s">
        <v>78</v>
      </c>
      <c r="K62" s="99" t="b">
        <v>0</v>
      </c>
      <c r="L62" s="95">
        <v>2014</v>
      </c>
      <c r="M62" s="96">
        <v>549</v>
      </c>
      <c r="N62" s="100">
        <v>41018</v>
      </c>
      <c r="O62" s="100">
        <v>41018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223000</v>
      </c>
      <c r="E63" s="99">
        <v>0</v>
      </c>
      <c r="F63" s="99"/>
      <c r="G63" s="99">
        <v>51</v>
      </c>
      <c r="H63" s="99">
        <v>24</v>
      </c>
      <c r="I63" s="99" t="s">
        <v>203</v>
      </c>
      <c r="J63" s="99" t="s">
        <v>152</v>
      </c>
      <c r="K63" s="99" t="b">
        <v>1</v>
      </c>
      <c r="L63" s="95">
        <v>2020</v>
      </c>
      <c r="M63" s="96">
        <v>77618948</v>
      </c>
      <c r="N63" s="100">
        <v>41018</v>
      </c>
      <c r="O63" s="100">
        <v>41018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223000</v>
      </c>
      <c r="E64" s="99">
        <v>0</v>
      </c>
      <c r="F64" s="99"/>
      <c r="G64" s="99">
        <v>9</v>
      </c>
      <c r="H64" s="99" t="s">
        <v>108</v>
      </c>
      <c r="I64" s="99"/>
      <c r="J64" s="99" t="s">
        <v>109</v>
      </c>
      <c r="K64" s="99" t="b">
        <v>0</v>
      </c>
      <c r="L64" s="95">
        <v>2015</v>
      </c>
      <c r="M64" s="96">
        <v>11900000</v>
      </c>
      <c r="N64" s="100">
        <v>41018</v>
      </c>
      <c r="O64" s="100">
        <v>41018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223000</v>
      </c>
      <c r="E65" s="99">
        <v>0</v>
      </c>
      <c r="F65" s="99"/>
      <c r="G65" s="99">
        <v>27</v>
      </c>
      <c r="H65" s="99">
        <v>10</v>
      </c>
      <c r="I65" s="99"/>
      <c r="J65" s="99" t="s">
        <v>18</v>
      </c>
      <c r="K65" s="99" t="b">
        <v>0</v>
      </c>
      <c r="L65" s="95">
        <v>2019</v>
      </c>
      <c r="M65" s="96">
        <v>660000</v>
      </c>
      <c r="N65" s="100">
        <v>41018</v>
      </c>
      <c r="O65" s="100">
        <v>41018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223000</v>
      </c>
      <c r="E66" s="99">
        <v>0</v>
      </c>
      <c r="F66" s="99"/>
      <c r="G66" s="99">
        <v>41</v>
      </c>
      <c r="H66" s="99" t="s">
        <v>145</v>
      </c>
      <c r="I66" s="99" t="s">
        <v>212</v>
      </c>
      <c r="J66" s="99" t="s">
        <v>73</v>
      </c>
      <c r="K66" s="99" t="b">
        <v>0</v>
      </c>
      <c r="L66" s="95">
        <v>2022</v>
      </c>
      <c r="M66" s="96">
        <v>0.0645</v>
      </c>
      <c r="N66" s="100">
        <v>41018</v>
      </c>
      <c r="O66" s="100">
        <v>41018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223000</v>
      </c>
      <c r="E67" s="99">
        <v>0</v>
      </c>
      <c r="F67" s="99"/>
      <c r="G67" s="99">
        <v>21</v>
      </c>
      <c r="H67" s="99" t="s">
        <v>124</v>
      </c>
      <c r="I67" s="99"/>
      <c r="J67" s="99" t="s">
        <v>125</v>
      </c>
      <c r="K67" s="99" t="b">
        <v>1</v>
      </c>
      <c r="L67" s="95">
        <v>2020</v>
      </c>
      <c r="M67" s="96">
        <v>2501733</v>
      </c>
      <c r="N67" s="100">
        <v>41018</v>
      </c>
      <c r="O67" s="100">
        <v>41018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223000</v>
      </c>
      <c r="E68" s="99">
        <v>0</v>
      </c>
      <c r="F68" s="99"/>
      <c r="G68" s="99">
        <v>37</v>
      </c>
      <c r="H68" s="99">
        <v>16</v>
      </c>
      <c r="I68" s="99"/>
      <c r="J68" s="99" t="s">
        <v>142</v>
      </c>
      <c r="K68" s="99" t="b">
        <v>1</v>
      </c>
      <c r="L68" s="95">
        <v>2022</v>
      </c>
      <c r="M68" s="96">
        <v>2154468</v>
      </c>
      <c r="N68" s="100">
        <v>41018</v>
      </c>
      <c r="O68" s="100">
        <v>41018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223000</v>
      </c>
      <c r="E69" s="99">
        <v>0</v>
      </c>
      <c r="F69" s="99"/>
      <c r="G69" s="99">
        <v>14</v>
      </c>
      <c r="H69" s="99">
        <v>3</v>
      </c>
      <c r="I69" s="99" t="s">
        <v>217</v>
      </c>
      <c r="J69" s="99" t="s">
        <v>118</v>
      </c>
      <c r="K69" s="99" t="b">
        <v>1</v>
      </c>
      <c r="L69" s="95">
        <v>2025</v>
      </c>
      <c r="M69" s="96">
        <v>1212031</v>
      </c>
      <c r="N69" s="100">
        <v>41018</v>
      </c>
      <c r="O69" s="100">
        <v>41018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223000</v>
      </c>
      <c r="E70" s="99">
        <v>0</v>
      </c>
      <c r="F70" s="99"/>
      <c r="G70" s="99">
        <v>2</v>
      </c>
      <c r="H70" s="99" t="s">
        <v>96</v>
      </c>
      <c r="I70" s="99"/>
      <c r="J70" s="99" t="s">
        <v>97</v>
      </c>
      <c r="K70" s="99" t="b">
        <v>1</v>
      </c>
      <c r="L70" s="95">
        <v>2017</v>
      </c>
      <c r="M70" s="96">
        <v>76795313</v>
      </c>
      <c r="N70" s="100">
        <v>41018</v>
      </c>
      <c r="O70" s="100">
        <v>41018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223000</v>
      </c>
      <c r="E71" s="99">
        <v>0</v>
      </c>
      <c r="F71" s="99"/>
      <c r="G71" s="99">
        <v>50</v>
      </c>
      <c r="H71" s="99">
        <v>23</v>
      </c>
      <c r="I71" s="99" t="s">
        <v>215</v>
      </c>
      <c r="J71" s="99" t="s">
        <v>151</v>
      </c>
      <c r="K71" s="99" t="b">
        <v>1</v>
      </c>
      <c r="L71" s="95">
        <v>2022</v>
      </c>
      <c r="M71" s="96">
        <v>81153281</v>
      </c>
      <c r="N71" s="100">
        <v>41018</v>
      </c>
      <c r="O71" s="100">
        <v>41018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223000</v>
      </c>
      <c r="E72" s="99">
        <v>0</v>
      </c>
      <c r="F72" s="99"/>
      <c r="G72" s="99">
        <v>42</v>
      </c>
      <c r="H72" s="99">
        <v>19</v>
      </c>
      <c r="I72" s="99" t="s">
        <v>207</v>
      </c>
      <c r="J72" s="99" t="s">
        <v>74</v>
      </c>
      <c r="K72" s="99" t="b">
        <v>1</v>
      </c>
      <c r="L72" s="95">
        <v>2025</v>
      </c>
      <c r="M72" s="96">
        <v>0.0065</v>
      </c>
      <c r="N72" s="100">
        <v>41018</v>
      </c>
      <c r="O72" s="100">
        <v>41018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223000</v>
      </c>
      <c r="E73" s="99">
        <v>0</v>
      </c>
      <c r="F73" s="99"/>
      <c r="G73" s="99">
        <v>23</v>
      </c>
      <c r="H73" s="99" t="s">
        <v>128</v>
      </c>
      <c r="I73" s="99"/>
      <c r="J73" s="99" t="s">
        <v>129</v>
      </c>
      <c r="K73" s="99" t="b">
        <v>1</v>
      </c>
      <c r="L73" s="95">
        <v>2012</v>
      </c>
      <c r="M73" s="96">
        <v>1780000</v>
      </c>
      <c r="N73" s="100">
        <v>41018</v>
      </c>
      <c r="O73" s="100">
        <v>41018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223000</v>
      </c>
      <c r="E74" s="99">
        <v>0</v>
      </c>
      <c r="F74" s="99"/>
      <c r="G74" s="99">
        <v>40</v>
      </c>
      <c r="H74" s="99">
        <v>18</v>
      </c>
      <c r="I74" s="99" t="s">
        <v>214</v>
      </c>
      <c r="J74" s="99" t="s">
        <v>71</v>
      </c>
      <c r="K74" s="99" t="b">
        <v>0</v>
      </c>
      <c r="L74" s="95">
        <v>2020</v>
      </c>
      <c r="M74" s="96">
        <v>0.1234</v>
      </c>
      <c r="N74" s="100">
        <v>41018</v>
      </c>
      <c r="O74" s="100">
        <v>41018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223000</v>
      </c>
      <c r="E75" s="99">
        <v>0</v>
      </c>
      <c r="F75" s="99"/>
      <c r="G75" s="99">
        <v>40</v>
      </c>
      <c r="H75" s="99">
        <v>18</v>
      </c>
      <c r="I75" s="99" t="s">
        <v>214</v>
      </c>
      <c r="J75" s="99" t="s">
        <v>71</v>
      </c>
      <c r="K75" s="99" t="b">
        <v>0</v>
      </c>
      <c r="L75" s="95">
        <v>2017</v>
      </c>
      <c r="M75" s="96">
        <v>0.2227</v>
      </c>
      <c r="N75" s="100">
        <v>41018</v>
      </c>
      <c r="O75" s="100">
        <v>41018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223000</v>
      </c>
      <c r="E76" s="99">
        <v>0</v>
      </c>
      <c r="F76" s="99"/>
      <c r="G76" s="99">
        <v>50</v>
      </c>
      <c r="H76" s="99">
        <v>23</v>
      </c>
      <c r="I76" s="99" t="s">
        <v>215</v>
      </c>
      <c r="J76" s="99" t="s">
        <v>151</v>
      </c>
      <c r="K76" s="99" t="b">
        <v>1</v>
      </c>
      <c r="L76" s="95">
        <v>2025</v>
      </c>
      <c r="M76" s="96">
        <v>84000000</v>
      </c>
      <c r="N76" s="100">
        <v>41018</v>
      </c>
      <c r="O76" s="100">
        <v>41018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223000</v>
      </c>
      <c r="E77" s="99">
        <v>0</v>
      </c>
      <c r="F77" s="99"/>
      <c r="G77" s="99">
        <v>16</v>
      </c>
      <c r="H77" s="99" t="s">
        <v>119</v>
      </c>
      <c r="I77" s="99"/>
      <c r="J77" s="99" t="s">
        <v>120</v>
      </c>
      <c r="K77" s="99" t="b">
        <v>0</v>
      </c>
      <c r="L77" s="95">
        <v>2012</v>
      </c>
      <c r="M77" s="96">
        <v>4120800</v>
      </c>
      <c r="N77" s="100">
        <v>41018</v>
      </c>
      <c r="O77" s="100">
        <v>41018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223000</v>
      </c>
      <c r="E78" s="99">
        <v>0</v>
      </c>
      <c r="F78" s="99"/>
      <c r="G78" s="99">
        <v>7</v>
      </c>
      <c r="H78" s="99">
        <v>2</v>
      </c>
      <c r="I78" s="99"/>
      <c r="J78" s="99" t="s">
        <v>3</v>
      </c>
      <c r="K78" s="99" t="b">
        <v>1</v>
      </c>
      <c r="L78" s="95">
        <v>2018</v>
      </c>
      <c r="M78" s="96">
        <v>74760074</v>
      </c>
      <c r="N78" s="100">
        <v>41018</v>
      </c>
      <c r="O78" s="100">
        <v>41018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223000</v>
      </c>
      <c r="E79" s="99">
        <v>0</v>
      </c>
      <c r="F79" s="99"/>
      <c r="G79" s="99">
        <v>42</v>
      </c>
      <c r="H79" s="99">
        <v>19</v>
      </c>
      <c r="I79" s="99" t="s">
        <v>207</v>
      </c>
      <c r="J79" s="99" t="s">
        <v>74</v>
      </c>
      <c r="K79" s="99" t="b">
        <v>1</v>
      </c>
      <c r="L79" s="95">
        <v>2015</v>
      </c>
      <c r="M79" s="96">
        <v>0.0475</v>
      </c>
      <c r="N79" s="100">
        <v>41018</v>
      </c>
      <c r="O79" s="100">
        <v>41018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223000</v>
      </c>
      <c r="E80" s="99">
        <v>0</v>
      </c>
      <c r="F80" s="99"/>
      <c r="G80" s="99">
        <v>40</v>
      </c>
      <c r="H80" s="99">
        <v>18</v>
      </c>
      <c r="I80" s="99" t="s">
        <v>214</v>
      </c>
      <c r="J80" s="99" t="s">
        <v>71</v>
      </c>
      <c r="K80" s="99" t="b">
        <v>0</v>
      </c>
      <c r="L80" s="95">
        <v>2019</v>
      </c>
      <c r="M80" s="96">
        <v>0.1561</v>
      </c>
      <c r="N80" s="100">
        <v>41018</v>
      </c>
      <c r="O80" s="100">
        <v>41018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223000</v>
      </c>
      <c r="E81" s="99">
        <v>0</v>
      </c>
      <c r="F81" s="99"/>
      <c r="G81" s="99">
        <v>55</v>
      </c>
      <c r="H81" s="99">
        <v>28</v>
      </c>
      <c r="I81" s="99" t="s">
        <v>218</v>
      </c>
      <c r="J81" s="99" t="s">
        <v>48</v>
      </c>
      <c r="K81" s="99" t="b">
        <v>0</v>
      </c>
      <c r="L81" s="95">
        <v>2020</v>
      </c>
      <c r="M81" s="96">
        <v>2501733</v>
      </c>
      <c r="N81" s="100">
        <v>41018</v>
      </c>
      <c r="O81" s="100">
        <v>41018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223000</v>
      </c>
      <c r="E82" s="99">
        <v>0</v>
      </c>
      <c r="F82" s="99"/>
      <c r="G82" s="99">
        <v>23</v>
      </c>
      <c r="H82" s="99" t="s">
        <v>128</v>
      </c>
      <c r="I82" s="99"/>
      <c r="J82" s="99" t="s">
        <v>129</v>
      </c>
      <c r="K82" s="99" t="b">
        <v>1</v>
      </c>
      <c r="L82" s="95">
        <v>2019</v>
      </c>
      <c r="M82" s="96">
        <v>786714</v>
      </c>
      <c r="N82" s="100">
        <v>41018</v>
      </c>
      <c r="O82" s="100">
        <v>41018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223000</v>
      </c>
      <c r="E83" s="99">
        <v>0</v>
      </c>
      <c r="F83" s="99"/>
      <c r="G83" s="99">
        <v>1</v>
      </c>
      <c r="H83" s="99">
        <v>1</v>
      </c>
      <c r="I83" s="99" t="s">
        <v>206</v>
      </c>
      <c r="J83" s="99" t="s">
        <v>95</v>
      </c>
      <c r="K83" s="99" t="b">
        <v>1</v>
      </c>
      <c r="L83" s="95">
        <v>2014</v>
      </c>
      <c r="M83" s="96">
        <v>93189679</v>
      </c>
      <c r="N83" s="100">
        <v>41018</v>
      </c>
      <c r="O83" s="100">
        <v>41018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223000</v>
      </c>
      <c r="E84" s="99">
        <v>0</v>
      </c>
      <c r="F84" s="99"/>
      <c r="G84" s="99">
        <v>9</v>
      </c>
      <c r="H84" s="99" t="s">
        <v>108</v>
      </c>
      <c r="I84" s="99"/>
      <c r="J84" s="99" t="s">
        <v>109</v>
      </c>
      <c r="K84" s="99" t="b">
        <v>0</v>
      </c>
      <c r="L84" s="95">
        <v>2024</v>
      </c>
      <c r="M84" s="96">
        <v>12750000</v>
      </c>
      <c r="N84" s="100">
        <v>41018</v>
      </c>
      <c r="O84" s="100">
        <v>41018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223000</v>
      </c>
      <c r="E85" s="99">
        <v>0</v>
      </c>
      <c r="F85" s="99"/>
      <c r="G85" s="99">
        <v>23</v>
      </c>
      <c r="H85" s="99" t="s">
        <v>128</v>
      </c>
      <c r="I85" s="99"/>
      <c r="J85" s="99" t="s">
        <v>129</v>
      </c>
      <c r="K85" s="99" t="b">
        <v>1</v>
      </c>
      <c r="L85" s="95">
        <v>2018</v>
      </c>
      <c r="M85" s="96">
        <v>927661</v>
      </c>
      <c r="N85" s="100">
        <v>41018</v>
      </c>
      <c r="O85" s="100">
        <v>41018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223000</v>
      </c>
      <c r="E86" s="99">
        <v>0</v>
      </c>
      <c r="F86" s="99"/>
      <c r="G86" s="99">
        <v>19</v>
      </c>
      <c r="H86" s="99">
        <v>6</v>
      </c>
      <c r="I86" s="99" t="s">
        <v>211</v>
      </c>
      <c r="J86" s="99" t="s">
        <v>123</v>
      </c>
      <c r="K86" s="99" t="b">
        <v>0</v>
      </c>
      <c r="L86" s="95">
        <v>2017</v>
      </c>
      <c r="M86" s="96">
        <v>4730332</v>
      </c>
      <c r="N86" s="100">
        <v>41018</v>
      </c>
      <c r="O86" s="100">
        <v>41018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223000</v>
      </c>
      <c r="E87" s="99">
        <v>0</v>
      </c>
      <c r="F87" s="99"/>
      <c r="G87" s="99">
        <v>42</v>
      </c>
      <c r="H87" s="99">
        <v>19</v>
      </c>
      <c r="I87" s="99" t="s">
        <v>207</v>
      </c>
      <c r="J87" s="99" t="s">
        <v>74</v>
      </c>
      <c r="K87" s="99" t="b">
        <v>1</v>
      </c>
      <c r="L87" s="95">
        <v>2012</v>
      </c>
      <c r="M87" s="96">
        <v>0.0631</v>
      </c>
      <c r="N87" s="100">
        <v>41018</v>
      </c>
      <c r="O87" s="100">
        <v>41018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223000</v>
      </c>
      <c r="E88" s="99">
        <v>0</v>
      </c>
      <c r="F88" s="99"/>
      <c r="G88" s="99">
        <v>33</v>
      </c>
      <c r="H88" s="99">
        <v>13</v>
      </c>
      <c r="I88" s="99"/>
      <c r="J88" s="99" t="s">
        <v>68</v>
      </c>
      <c r="K88" s="99" t="b">
        <v>1</v>
      </c>
      <c r="L88" s="95">
        <v>2018</v>
      </c>
      <c r="M88" s="96">
        <v>14968593</v>
      </c>
      <c r="N88" s="100">
        <v>41018</v>
      </c>
      <c r="O88" s="100">
        <v>41018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223000</v>
      </c>
      <c r="E89" s="99">
        <v>0</v>
      </c>
      <c r="F89" s="99"/>
      <c r="G89" s="99">
        <v>57</v>
      </c>
      <c r="H89" s="99">
        <v>30</v>
      </c>
      <c r="I89" s="99" t="s">
        <v>201</v>
      </c>
      <c r="J89" s="99" t="s">
        <v>155</v>
      </c>
      <c r="K89" s="99" t="b">
        <v>0</v>
      </c>
      <c r="L89" s="95">
        <v>2012</v>
      </c>
      <c r="M89" s="96">
        <v>3819913</v>
      </c>
      <c r="N89" s="100">
        <v>41018</v>
      </c>
      <c r="O89" s="100">
        <v>41018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223000</v>
      </c>
      <c r="E90" s="99">
        <v>0</v>
      </c>
      <c r="F90" s="99"/>
      <c r="G90" s="99">
        <v>48</v>
      </c>
      <c r="H90" s="99">
        <v>22</v>
      </c>
      <c r="I90" s="99" t="s">
        <v>219</v>
      </c>
      <c r="J90" s="99" t="s">
        <v>79</v>
      </c>
      <c r="K90" s="99" t="b">
        <v>0</v>
      </c>
      <c r="L90" s="95">
        <v>2012</v>
      </c>
      <c r="M90" s="96">
        <v>0.0631</v>
      </c>
      <c r="N90" s="100">
        <v>41018</v>
      </c>
      <c r="O90" s="100">
        <v>41018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223000</v>
      </c>
      <c r="E91" s="99">
        <v>0</v>
      </c>
      <c r="F91" s="99"/>
      <c r="G91" s="99">
        <v>43</v>
      </c>
      <c r="H91" s="99" t="s">
        <v>146</v>
      </c>
      <c r="I91" s="99" t="s">
        <v>208</v>
      </c>
      <c r="J91" s="99" t="s">
        <v>76</v>
      </c>
      <c r="K91" s="99" t="b">
        <v>0</v>
      </c>
      <c r="L91" s="95">
        <v>2018</v>
      </c>
      <c r="M91" s="96">
        <v>0.0432</v>
      </c>
      <c r="N91" s="100">
        <v>41018</v>
      </c>
      <c r="O91" s="100">
        <v>41018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223000</v>
      </c>
      <c r="E92" s="99">
        <v>0</v>
      </c>
      <c r="F92" s="99"/>
      <c r="G92" s="99">
        <v>41</v>
      </c>
      <c r="H92" s="99" t="s">
        <v>145</v>
      </c>
      <c r="I92" s="99" t="s">
        <v>212</v>
      </c>
      <c r="J92" s="99" t="s">
        <v>73</v>
      </c>
      <c r="K92" s="99" t="b">
        <v>0</v>
      </c>
      <c r="L92" s="95">
        <v>2025</v>
      </c>
      <c r="M92" s="96">
        <v>0.0059</v>
      </c>
      <c r="N92" s="100">
        <v>41018</v>
      </c>
      <c r="O92" s="100">
        <v>41018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223000</v>
      </c>
      <c r="E93" s="99">
        <v>0</v>
      </c>
      <c r="F93" s="99"/>
      <c r="G93" s="99">
        <v>53</v>
      </c>
      <c r="H93" s="99">
        <v>26</v>
      </c>
      <c r="I93" s="99" t="s">
        <v>220</v>
      </c>
      <c r="J93" s="99" t="s">
        <v>153</v>
      </c>
      <c r="K93" s="99" t="b">
        <v>1</v>
      </c>
      <c r="L93" s="95">
        <v>2018</v>
      </c>
      <c r="M93" s="96">
        <v>79349468</v>
      </c>
      <c r="N93" s="100">
        <v>41018</v>
      </c>
      <c r="O93" s="100">
        <v>41018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223000</v>
      </c>
      <c r="E94" s="99">
        <v>0</v>
      </c>
      <c r="F94" s="99"/>
      <c r="G94" s="99">
        <v>4</v>
      </c>
      <c r="H94" s="99" t="s">
        <v>100</v>
      </c>
      <c r="I94" s="99"/>
      <c r="J94" s="99" t="s">
        <v>101</v>
      </c>
      <c r="K94" s="99" t="b">
        <v>1</v>
      </c>
      <c r="L94" s="95">
        <v>2015</v>
      </c>
      <c r="M94" s="96">
        <v>6160000</v>
      </c>
      <c r="N94" s="100">
        <v>41018</v>
      </c>
      <c r="O94" s="100">
        <v>41018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223000</v>
      </c>
      <c r="E95" s="99">
        <v>0</v>
      </c>
      <c r="F95" s="99"/>
      <c r="G95" s="99">
        <v>37</v>
      </c>
      <c r="H95" s="99">
        <v>16</v>
      </c>
      <c r="I95" s="99"/>
      <c r="J95" s="99" t="s">
        <v>142</v>
      </c>
      <c r="K95" s="99" t="b">
        <v>1</v>
      </c>
      <c r="L95" s="95">
        <v>2018</v>
      </c>
      <c r="M95" s="96">
        <v>2501733</v>
      </c>
      <c r="N95" s="100">
        <v>41018</v>
      </c>
      <c r="O95" s="100">
        <v>41018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223000</v>
      </c>
      <c r="E96" s="99">
        <v>0</v>
      </c>
      <c r="F96" s="99"/>
      <c r="G96" s="99">
        <v>37</v>
      </c>
      <c r="H96" s="99">
        <v>16</v>
      </c>
      <c r="I96" s="99"/>
      <c r="J96" s="99" t="s">
        <v>142</v>
      </c>
      <c r="K96" s="99" t="b">
        <v>1</v>
      </c>
      <c r="L96" s="95">
        <v>2014</v>
      </c>
      <c r="M96" s="96">
        <v>4319922</v>
      </c>
      <c r="N96" s="100">
        <v>41018</v>
      </c>
      <c r="O96" s="100">
        <v>41018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223000</v>
      </c>
      <c r="E97" s="99">
        <v>0</v>
      </c>
      <c r="F97" s="99"/>
      <c r="G97" s="99">
        <v>40</v>
      </c>
      <c r="H97" s="99">
        <v>18</v>
      </c>
      <c r="I97" s="99" t="s">
        <v>214</v>
      </c>
      <c r="J97" s="99" t="s">
        <v>71</v>
      </c>
      <c r="K97" s="99" t="b">
        <v>0</v>
      </c>
      <c r="L97" s="95">
        <v>2025</v>
      </c>
      <c r="M97" s="96">
        <v>0.0059</v>
      </c>
      <c r="N97" s="100">
        <v>41018</v>
      </c>
      <c r="O97" s="100">
        <v>41018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223000</v>
      </c>
      <c r="E98" s="99">
        <v>0</v>
      </c>
      <c r="F98" s="99"/>
      <c r="G98" s="99">
        <v>5</v>
      </c>
      <c r="H98" s="99" t="s">
        <v>102</v>
      </c>
      <c r="I98" s="99"/>
      <c r="J98" s="99" t="s">
        <v>103</v>
      </c>
      <c r="K98" s="99" t="b">
        <v>1</v>
      </c>
      <c r="L98" s="95">
        <v>2022</v>
      </c>
      <c r="M98" s="96">
        <v>1160000</v>
      </c>
      <c r="N98" s="100">
        <v>41018</v>
      </c>
      <c r="O98" s="100">
        <v>41018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223000</v>
      </c>
      <c r="E99" s="99">
        <v>0</v>
      </c>
      <c r="F99" s="99"/>
      <c r="G99" s="99">
        <v>55</v>
      </c>
      <c r="H99" s="99">
        <v>28</v>
      </c>
      <c r="I99" s="99" t="s">
        <v>218</v>
      </c>
      <c r="J99" s="99" t="s">
        <v>48</v>
      </c>
      <c r="K99" s="99" t="b">
        <v>0</v>
      </c>
      <c r="L99" s="95">
        <v>2017</v>
      </c>
      <c r="M99" s="96">
        <v>2501733</v>
      </c>
      <c r="N99" s="100">
        <v>41018</v>
      </c>
      <c r="O99" s="100">
        <v>41018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223000</v>
      </c>
      <c r="E100" s="99">
        <v>0</v>
      </c>
      <c r="F100" s="99"/>
      <c r="G100" s="99">
        <v>57</v>
      </c>
      <c r="H100" s="99">
        <v>30</v>
      </c>
      <c r="I100" s="99" t="s">
        <v>201</v>
      </c>
      <c r="J100" s="99" t="s">
        <v>155</v>
      </c>
      <c r="K100" s="99" t="b">
        <v>0</v>
      </c>
      <c r="L100" s="95">
        <v>2024</v>
      </c>
      <c r="M100" s="96">
        <v>2154460</v>
      </c>
      <c r="N100" s="100">
        <v>41018</v>
      </c>
      <c r="O100" s="100">
        <v>41018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223000</v>
      </c>
      <c r="E101" s="99">
        <v>0</v>
      </c>
      <c r="F101" s="99"/>
      <c r="G101" s="99">
        <v>2</v>
      </c>
      <c r="H101" s="99" t="s">
        <v>96</v>
      </c>
      <c r="I101" s="99"/>
      <c r="J101" s="99" t="s">
        <v>97</v>
      </c>
      <c r="K101" s="99" t="b">
        <v>1</v>
      </c>
      <c r="L101" s="95">
        <v>2014</v>
      </c>
      <c r="M101" s="96">
        <v>73069757</v>
      </c>
      <c r="N101" s="100">
        <v>41018</v>
      </c>
      <c r="O101" s="100">
        <v>41018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223000</v>
      </c>
      <c r="E102" s="99">
        <v>0</v>
      </c>
      <c r="F102" s="99"/>
      <c r="G102" s="99">
        <v>44</v>
      </c>
      <c r="H102" s="99">
        <v>20</v>
      </c>
      <c r="I102" s="99" t="s">
        <v>202</v>
      </c>
      <c r="J102" s="99" t="s">
        <v>147</v>
      </c>
      <c r="K102" s="99" t="b">
        <v>1</v>
      </c>
      <c r="L102" s="95">
        <v>2025</v>
      </c>
      <c r="M102" s="96">
        <v>0.0136</v>
      </c>
      <c r="N102" s="100">
        <v>41018</v>
      </c>
      <c r="O102" s="100">
        <v>41018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223000</v>
      </c>
      <c r="E103" s="99">
        <v>0</v>
      </c>
      <c r="F103" s="99"/>
      <c r="G103" s="99">
        <v>4</v>
      </c>
      <c r="H103" s="99" t="s">
        <v>100</v>
      </c>
      <c r="I103" s="99"/>
      <c r="J103" s="99" t="s">
        <v>101</v>
      </c>
      <c r="K103" s="99" t="b">
        <v>1</v>
      </c>
      <c r="L103" s="95">
        <v>2026</v>
      </c>
      <c r="M103" s="96">
        <v>1160000</v>
      </c>
      <c r="N103" s="100">
        <v>41018</v>
      </c>
      <c r="O103" s="100">
        <v>41018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223000</v>
      </c>
      <c r="E104" s="99">
        <v>0</v>
      </c>
      <c r="F104" s="99"/>
      <c r="G104" s="99">
        <v>45</v>
      </c>
      <c r="H104" s="99" t="s">
        <v>148</v>
      </c>
      <c r="I104" s="99" t="s">
        <v>210</v>
      </c>
      <c r="J104" s="99" t="s">
        <v>53</v>
      </c>
      <c r="K104" s="99" t="b">
        <v>0</v>
      </c>
      <c r="L104" s="95">
        <v>2018</v>
      </c>
      <c r="M104" s="96">
        <v>0.0649</v>
      </c>
      <c r="N104" s="100">
        <v>41018</v>
      </c>
      <c r="O104" s="100">
        <v>41018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223000</v>
      </c>
      <c r="E105" s="99">
        <v>0</v>
      </c>
      <c r="F105" s="99"/>
      <c r="G105" s="99">
        <v>27</v>
      </c>
      <c r="H105" s="99">
        <v>10</v>
      </c>
      <c r="I105" s="99"/>
      <c r="J105" s="99" t="s">
        <v>18</v>
      </c>
      <c r="K105" s="99" t="b">
        <v>0</v>
      </c>
      <c r="L105" s="95">
        <v>2015</v>
      </c>
      <c r="M105" s="96">
        <v>5660000</v>
      </c>
      <c r="N105" s="100">
        <v>41018</v>
      </c>
      <c r="O105" s="100">
        <v>41018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223000</v>
      </c>
      <c r="E106" s="99">
        <v>0</v>
      </c>
      <c r="F106" s="99"/>
      <c r="G106" s="99">
        <v>5</v>
      </c>
      <c r="H106" s="99" t="s">
        <v>102</v>
      </c>
      <c r="I106" s="99"/>
      <c r="J106" s="99" t="s">
        <v>103</v>
      </c>
      <c r="K106" s="99" t="b">
        <v>1</v>
      </c>
      <c r="L106" s="95">
        <v>2014</v>
      </c>
      <c r="M106" s="96">
        <v>20119922</v>
      </c>
      <c r="N106" s="100">
        <v>41018</v>
      </c>
      <c r="O106" s="100">
        <v>41018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223000</v>
      </c>
      <c r="E107" s="99">
        <v>0</v>
      </c>
      <c r="F107" s="99"/>
      <c r="G107" s="99">
        <v>4</v>
      </c>
      <c r="H107" s="99" t="s">
        <v>100</v>
      </c>
      <c r="I107" s="99"/>
      <c r="J107" s="99" t="s">
        <v>101</v>
      </c>
      <c r="K107" s="99" t="b">
        <v>1</v>
      </c>
      <c r="L107" s="95">
        <v>2013</v>
      </c>
      <c r="M107" s="96">
        <v>18076186</v>
      </c>
      <c r="N107" s="100">
        <v>41018</v>
      </c>
      <c r="O107" s="100">
        <v>41018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223000</v>
      </c>
      <c r="E108" s="99">
        <v>0</v>
      </c>
      <c r="F108" s="99"/>
      <c r="G108" s="99">
        <v>20</v>
      </c>
      <c r="H108" s="99">
        <v>7</v>
      </c>
      <c r="I108" s="99" t="s">
        <v>205</v>
      </c>
      <c r="J108" s="99" t="s">
        <v>12</v>
      </c>
      <c r="K108" s="99" t="b">
        <v>1</v>
      </c>
      <c r="L108" s="95">
        <v>2021</v>
      </c>
      <c r="M108" s="96">
        <v>3006544</v>
      </c>
      <c r="N108" s="100">
        <v>41018</v>
      </c>
      <c r="O108" s="100">
        <v>41018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223000</v>
      </c>
      <c r="E109" s="99">
        <v>0</v>
      </c>
      <c r="F109" s="99"/>
      <c r="G109" s="99">
        <v>7</v>
      </c>
      <c r="H109" s="99">
        <v>2</v>
      </c>
      <c r="I109" s="99"/>
      <c r="J109" s="99" t="s">
        <v>3</v>
      </c>
      <c r="K109" s="99" t="b">
        <v>1</v>
      </c>
      <c r="L109" s="95">
        <v>2013</v>
      </c>
      <c r="M109" s="96">
        <v>70443071</v>
      </c>
      <c r="N109" s="100">
        <v>41018</v>
      </c>
      <c r="O109" s="100">
        <v>41018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223000</v>
      </c>
      <c r="E110" s="99">
        <v>0</v>
      </c>
      <c r="F110" s="99"/>
      <c r="G110" s="99">
        <v>45</v>
      </c>
      <c r="H110" s="99" t="s">
        <v>148</v>
      </c>
      <c r="I110" s="99" t="s">
        <v>210</v>
      </c>
      <c r="J110" s="99" t="s">
        <v>53</v>
      </c>
      <c r="K110" s="99" t="b">
        <v>0</v>
      </c>
      <c r="L110" s="95">
        <v>2017</v>
      </c>
      <c r="M110" s="96">
        <v>0.1213</v>
      </c>
      <c r="N110" s="100">
        <v>41018</v>
      </c>
      <c r="O110" s="100">
        <v>41018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223000</v>
      </c>
      <c r="E111" s="99">
        <v>0</v>
      </c>
      <c r="F111" s="99"/>
      <c r="G111" s="99">
        <v>26</v>
      </c>
      <c r="H111" s="99">
        <v>9</v>
      </c>
      <c r="I111" s="99" t="s">
        <v>221</v>
      </c>
      <c r="J111" s="99" t="s">
        <v>133</v>
      </c>
      <c r="K111" s="99" t="b">
        <v>0</v>
      </c>
      <c r="L111" s="95">
        <v>2022</v>
      </c>
      <c r="M111" s="96">
        <v>660000</v>
      </c>
      <c r="N111" s="100">
        <v>41018</v>
      </c>
      <c r="O111" s="100">
        <v>41018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223000</v>
      </c>
      <c r="E112" s="99">
        <v>0</v>
      </c>
      <c r="F112" s="99"/>
      <c r="G112" s="99">
        <v>21</v>
      </c>
      <c r="H112" s="99" t="s">
        <v>124</v>
      </c>
      <c r="I112" s="99"/>
      <c r="J112" s="99" t="s">
        <v>125</v>
      </c>
      <c r="K112" s="99" t="b">
        <v>1</v>
      </c>
      <c r="L112" s="95">
        <v>2013</v>
      </c>
      <c r="M112" s="96">
        <v>4319913</v>
      </c>
      <c r="N112" s="100">
        <v>41018</v>
      </c>
      <c r="O112" s="100">
        <v>41018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223000</v>
      </c>
      <c r="E113" s="99">
        <v>0</v>
      </c>
      <c r="F113" s="99"/>
      <c r="G113" s="99">
        <v>43</v>
      </c>
      <c r="H113" s="99" t="s">
        <v>146</v>
      </c>
      <c r="I113" s="99" t="s">
        <v>208</v>
      </c>
      <c r="J113" s="99" t="s">
        <v>76</v>
      </c>
      <c r="K113" s="99" t="b">
        <v>0</v>
      </c>
      <c r="L113" s="95">
        <v>2025</v>
      </c>
      <c r="M113" s="96">
        <v>0.0065</v>
      </c>
      <c r="N113" s="100">
        <v>41018</v>
      </c>
      <c r="O113" s="100">
        <v>41018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223000</v>
      </c>
      <c r="E114" s="99">
        <v>0</v>
      </c>
      <c r="F114" s="99"/>
      <c r="G114" s="99">
        <v>7</v>
      </c>
      <c r="H114" s="99">
        <v>2</v>
      </c>
      <c r="I114" s="99"/>
      <c r="J114" s="99" t="s">
        <v>3</v>
      </c>
      <c r="K114" s="99" t="b">
        <v>1</v>
      </c>
      <c r="L114" s="95">
        <v>2020</v>
      </c>
      <c r="M114" s="96">
        <v>76973090</v>
      </c>
      <c r="N114" s="100">
        <v>41018</v>
      </c>
      <c r="O114" s="100">
        <v>41018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223000</v>
      </c>
      <c r="E115" s="99">
        <v>0</v>
      </c>
      <c r="F115" s="99"/>
      <c r="G115" s="99">
        <v>42</v>
      </c>
      <c r="H115" s="99">
        <v>19</v>
      </c>
      <c r="I115" s="99" t="s">
        <v>207</v>
      </c>
      <c r="J115" s="99" t="s">
        <v>74</v>
      </c>
      <c r="K115" s="99" t="b">
        <v>1</v>
      </c>
      <c r="L115" s="95">
        <v>2024</v>
      </c>
      <c r="M115" s="96">
        <v>0.0272</v>
      </c>
      <c r="N115" s="100">
        <v>41018</v>
      </c>
      <c r="O115" s="100">
        <v>41018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223000</v>
      </c>
      <c r="E116" s="99">
        <v>0</v>
      </c>
      <c r="F116" s="99"/>
      <c r="G116" s="99">
        <v>37</v>
      </c>
      <c r="H116" s="99">
        <v>16</v>
      </c>
      <c r="I116" s="99"/>
      <c r="J116" s="99" t="s">
        <v>142</v>
      </c>
      <c r="K116" s="99" t="b">
        <v>1</v>
      </c>
      <c r="L116" s="95">
        <v>2025</v>
      </c>
      <c r="M116" s="96">
        <v>500000</v>
      </c>
      <c r="N116" s="100">
        <v>41018</v>
      </c>
      <c r="O116" s="100">
        <v>41018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223000</v>
      </c>
      <c r="E117" s="99">
        <v>0</v>
      </c>
      <c r="F117" s="99"/>
      <c r="G117" s="99">
        <v>41</v>
      </c>
      <c r="H117" s="99" t="s">
        <v>145</v>
      </c>
      <c r="I117" s="99" t="s">
        <v>212</v>
      </c>
      <c r="J117" s="99" t="s">
        <v>73</v>
      </c>
      <c r="K117" s="99" t="b">
        <v>0</v>
      </c>
      <c r="L117" s="95">
        <v>2018</v>
      </c>
      <c r="M117" s="96">
        <v>0.1886</v>
      </c>
      <c r="N117" s="100">
        <v>41018</v>
      </c>
      <c r="O117" s="100">
        <v>41018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223000</v>
      </c>
      <c r="E118" s="99">
        <v>0</v>
      </c>
      <c r="F118" s="99"/>
      <c r="G118" s="99">
        <v>20</v>
      </c>
      <c r="H118" s="99">
        <v>7</v>
      </c>
      <c r="I118" s="99" t="s">
        <v>205</v>
      </c>
      <c r="J118" s="99" t="s">
        <v>12</v>
      </c>
      <c r="K118" s="99" t="b">
        <v>1</v>
      </c>
      <c r="L118" s="95">
        <v>2020</v>
      </c>
      <c r="M118" s="96">
        <v>3147591</v>
      </c>
      <c r="N118" s="100">
        <v>41018</v>
      </c>
      <c r="O118" s="100">
        <v>41018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223000</v>
      </c>
      <c r="E119" s="99">
        <v>0</v>
      </c>
      <c r="F119" s="99"/>
      <c r="G119" s="99">
        <v>44</v>
      </c>
      <c r="H119" s="99">
        <v>20</v>
      </c>
      <c r="I119" s="99" t="s">
        <v>202</v>
      </c>
      <c r="J119" s="99" t="s">
        <v>147</v>
      </c>
      <c r="K119" s="99" t="b">
        <v>1</v>
      </c>
      <c r="L119" s="95">
        <v>2020</v>
      </c>
      <c r="M119" s="96">
        <v>0.0391</v>
      </c>
      <c r="N119" s="100">
        <v>41018</v>
      </c>
      <c r="O119" s="100">
        <v>41018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223000</v>
      </c>
      <c r="E120" s="99">
        <v>0</v>
      </c>
      <c r="F120" s="99"/>
      <c r="G120" s="99">
        <v>8</v>
      </c>
      <c r="H120" s="99" t="s">
        <v>106</v>
      </c>
      <c r="I120" s="99"/>
      <c r="J120" s="99" t="s">
        <v>107</v>
      </c>
      <c r="K120" s="99" t="b">
        <v>0</v>
      </c>
      <c r="L120" s="95">
        <v>2018</v>
      </c>
      <c r="M120" s="96">
        <v>31800000</v>
      </c>
      <c r="N120" s="100">
        <v>41018</v>
      </c>
      <c r="O120" s="100">
        <v>41018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223000</v>
      </c>
      <c r="E121" s="99">
        <v>0</v>
      </c>
      <c r="F121" s="99"/>
      <c r="G121" s="99">
        <v>49</v>
      </c>
      <c r="H121" s="99" t="s">
        <v>150</v>
      </c>
      <c r="I121" s="99" t="s">
        <v>204</v>
      </c>
      <c r="J121" s="99" t="s">
        <v>81</v>
      </c>
      <c r="K121" s="99" t="b">
        <v>0</v>
      </c>
      <c r="L121" s="95">
        <v>2014</v>
      </c>
      <c r="M121" s="96">
        <v>549</v>
      </c>
      <c r="N121" s="100">
        <v>41018</v>
      </c>
      <c r="O121" s="100">
        <v>41018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223000</v>
      </c>
      <c r="E122" s="99">
        <v>0</v>
      </c>
      <c r="F122" s="99"/>
      <c r="G122" s="99">
        <v>26</v>
      </c>
      <c r="H122" s="99">
        <v>9</v>
      </c>
      <c r="I122" s="99" t="s">
        <v>221</v>
      </c>
      <c r="J122" s="99" t="s">
        <v>133</v>
      </c>
      <c r="K122" s="99" t="b">
        <v>0</v>
      </c>
      <c r="L122" s="95">
        <v>2025</v>
      </c>
      <c r="M122" s="96">
        <v>660000</v>
      </c>
      <c r="N122" s="100">
        <v>41018</v>
      </c>
      <c r="O122" s="100">
        <v>41018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223000</v>
      </c>
      <c r="E123" s="99">
        <v>0</v>
      </c>
      <c r="F123" s="99"/>
      <c r="G123" s="99">
        <v>50</v>
      </c>
      <c r="H123" s="99">
        <v>23</v>
      </c>
      <c r="I123" s="99" t="s">
        <v>215</v>
      </c>
      <c r="J123" s="99" t="s">
        <v>151</v>
      </c>
      <c r="K123" s="99" t="b">
        <v>1</v>
      </c>
      <c r="L123" s="95">
        <v>2015</v>
      </c>
      <c r="M123" s="96">
        <v>74915408</v>
      </c>
      <c r="N123" s="100">
        <v>41018</v>
      </c>
      <c r="O123" s="100">
        <v>41018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223000</v>
      </c>
      <c r="E124" s="99">
        <v>0</v>
      </c>
      <c r="F124" s="99"/>
      <c r="G124" s="99">
        <v>24</v>
      </c>
      <c r="H124" s="99" t="s">
        <v>130</v>
      </c>
      <c r="I124" s="99"/>
      <c r="J124" s="99" t="s">
        <v>131</v>
      </c>
      <c r="K124" s="99" t="b">
        <v>1</v>
      </c>
      <c r="L124" s="95">
        <v>2026</v>
      </c>
      <c r="M124" s="96">
        <v>18281</v>
      </c>
      <c r="N124" s="100">
        <v>41018</v>
      </c>
      <c r="O124" s="100">
        <v>41018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223000</v>
      </c>
      <c r="E125" s="99">
        <v>0</v>
      </c>
      <c r="F125" s="99"/>
      <c r="G125" s="99">
        <v>33</v>
      </c>
      <c r="H125" s="99">
        <v>13</v>
      </c>
      <c r="I125" s="99"/>
      <c r="J125" s="99" t="s">
        <v>68</v>
      </c>
      <c r="K125" s="99" t="b">
        <v>1</v>
      </c>
      <c r="L125" s="95">
        <v>2013</v>
      </c>
      <c r="M125" s="96">
        <v>34795447</v>
      </c>
      <c r="N125" s="100">
        <v>41018</v>
      </c>
      <c r="O125" s="100">
        <v>41018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223000</v>
      </c>
      <c r="E126" s="99">
        <v>0</v>
      </c>
      <c r="F126" s="99"/>
      <c r="G126" s="99">
        <v>1</v>
      </c>
      <c r="H126" s="99">
        <v>1</v>
      </c>
      <c r="I126" s="99" t="s">
        <v>206</v>
      </c>
      <c r="J126" s="99" t="s">
        <v>95</v>
      </c>
      <c r="K126" s="99" t="b">
        <v>1</v>
      </c>
      <c r="L126" s="95">
        <v>2020</v>
      </c>
      <c r="M126" s="96">
        <v>80780681</v>
      </c>
      <c r="N126" s="100">
        <v>41018</v>
      </c>
      <c r="O126" s="100">
        <v>41018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223000</v>
      </c>
      <c r="E127" s="99">
        <v>0</v>
      </c>
      <c r="F127" s="99"/>
      <c r="G127" s="99">
        <v>27</v>
      </c>
      <c r="H127" s="99">
        <v>10</v>
      </c>
      <c r="I127" s="99"/>
      <c r="J127" s="99" t="s">
        <v>18</v>
      </c>
      <c r="K127" s="99" t="b">
        <v>0</v>
      </c>
      <c r="L127" s="95">
        <v>2012</v>
      </c>
      <c r="M127" s="96">
        <v>24039959</v>
      </c>
      <c r="N127" s="100">
        <v>41018</v>
      </c>
      <c r="O127" s="100">
        <v>41018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223000</v>
      </c>
      <c r="E128" s="99">
        <v>0</v>
      </c>
      <c r="F128" s="99"/>
      <c r="G128" s="99">
        <v>41</v>
      </c>
      <c r="H128" s="99" t="s">
        <v>145</v>
      </c>
      <c r="I128" s="99" t="s">
        <v>212</v>
      </c>
      <c r="J128" s="99" t="s">
        <v>73</v>
      </c>
      <c r="K128" s="99" t="b">
        <v>0</v>
      </c>
      <c r="L128" s="95">
        <v>2020</v>
      </c>
      <c r="M128" s="96">
        <v>0.1234</v>
      </c>
      <c r="N128" s="100">
        <v>41018</v>
      </c>
      <c r="O128" s="100">
        <v>41018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223000</v>
      </c>
      <c r="E129" s="99">
        <v>0</v>
      </c>
      <c r="F129" s="99"/>
      <c r="G129" s="99">
        <v>57</v>
      </c>
      <c r="H129" s="99">
        <v>30</v>
      </c>
      <c r="I129" s="99" t="s">
        <v>201</v>
      </c>
      <c r="J129" s="99" t="s">
        <v>155</v>
      </c>
      <c r="K129" s="99" t="b">
        <v>0</v>
      </c>
      <c r="L129" s="95">
        <v>2021</v>
      </c>
      <c r="M129" s="96">
        <v>2501731</v>
      </c>
      <c r="N129" s="100">
        <v>41018</v>
      </c>
      <c r="O129" s="100">
        <v>41018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223000</v>
      </c>
      <c r="E130" s="99">
        <v>0</v>
      </c>
      <c r="F130" s="99"/>
      <c r="G130" s="99">
        <v>2</v>
      </c>
      <c r="H130" s="99" t="s">
        <v>96</v>
      </c>
      <c r="I130" s="99"/>
      <c r="J130" s="99" t="s">
        <v>97</v>
      </c>
      <c r="K130" s="99" t="b">
        <v>1</v>
      </c>
      <c r="L130" s="95">
        <v>2023</v>
      </c>
      <c r="M130" s="96">
        <v>82119531</v>
      </c>
      <c r="N130" s="100">
        <v>41018</v>
      </c>
      <c r="O130" s="100">
        <v>41018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223000</v>
      </c>
      <c r="E131" s="99">
        <v>0</v>
      </c>
      <c r="F131" s="99"/>
      <c r="G131" s="99">
        <v>4</v>
      </c>
      <c r="H131" s="99" t="s">
        <v>100</v>
      </c>
      <c r="I131" s="99"/>
      <c r="J131" s="99" t="s">
        <v>101</v>
      </c>
      <c r="K131" s="99" t="b">
        <v>1</v>
      </c>
      <c r="L131" s="95">
        <v>2024</v>
      </c>
      <c r="M131" s="96">
        <v>1160000</v>
      </c>
      <c r="N131" s="100">
        <v>41018</v>
      </c>
      <c r="O131" s="100">
        <v>41018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223000</v>
      </c>
      <c r="E132" s="99">
        <v>0</v>
      </c>
      <c r="F132" s="99"/>
      <c r="G132" s="99">
        <v>43</v>
      </c>
      <c r="H132" s="99" t="s">
        <v>146</v>
      </c>
      <c r="I132" s="99" t="s">
        <v>208</v>
      </c>
      <c r="J132" s="99" t="s">
        <v>76</v>
      </c>
      <c r="K132" s="99" t="b">
        <v>0</v>
      </c>
      <c r="L132" s="95">
        <v>2017</v>
      </c>
      <c r="M132" s="96">
        <v>0.0455</v>
      </c>
      <c r="N132" s="100">
        <v>41018</v>
      </c>
      <c r="O132" s="100">
        <v>41018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223000</v>
      </c>
      <c r="E133" s="99">
        <v>0</v>
      </c>
      <c r="F133" s="99"/>
      <c r="G133" s="99">
        <v>1</v>
      </c>
      <c r="H133" s="99">
        <v>1</v>
      </c>
      <c r="I133" s="99" t="s">
        <v>206</v>
      </c>
      <c r="J133" s="99" t="s">
        <v>95</v>
      </c>
      <c r="K133" s="99" t="b">
        <v>1</v>
      </c>
      <c r="L133" s="95">
        <v>2024</v>
      </c>
      <c r="M133" s="96">
        <v>84245781</v>
      </c>
      <c r="N133" s="100">
        <v>41018</v>
      </c>
      <c r="O133" s="100">
        <v>41018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223000</v>
      </c>
      <c r="E134" s="99">
        <v>0</v>
      </c>
      <c r="F134" s="99"/>
      <c r="G134" s="99">
        <v>27</v>
      </c>
      <c r="H134" s="99">
        <v>10</v>
      </c>
      <c r="I134" s="99"/>
      <c r="J134" s="99" t="s">
        <v>18</v>
      </c>
      <c r="K134" s="99" t="b">
        <v>0</v>
      </c>
      <c r="L134" s="95">
        <v>2017</v>
      </c>
      <c r="M134" s="96">
        <v>1160000</v>
      </c>
      <c r="N134" s="100">
        <v>41018</v>
      </c>
      <c r="O134" s="100">
        <v>41018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223000</v>
      </c>
      <c r="E135" s="99">
        <v>0</v>
      </c>
      <c r="F135" s="99"/>
      <c r="G135" s="99">
        <v>5</v>
      </c>
      <c r="H135" s="99" t="s">
        <v>102</v>
      </c>
      <c r="I135" s="99"/>
      <c r="J135" s="99" t="s">
        <v>103</v>
      </c>
      <c r="K135" s="99" t="b">
        <v>1</v>
      </c>
      <c r="L135" s="95">
        <v>2021</v>
      </c>
      <c r="M135" s="96">
        <v>1160000</v>
      </c>
      <c r="N135" s="100">
        <v>41018</v>
      </c>
      <c r="O135" s="100">
        <v>41018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223000</v>
      </c>
      <c r="E136" s="99">
        <v>0</v>
      </c>
      <c r="F136" s="99"/>
      <c r="G136" s="99">
        <v>27</v>
      </c>
      <c r="H136" s="99">
        <v>10</v>
      </c>
      <c r="I136" s="99"/>
      <c r="J136" s="99" t="s">
        <v>18</v>
      </c>
      <c r="K136" s="99" t="b">
        <v>0</v>
      </c>
      <c r="L136" s="95">
        <v>2013</v>
      </c>
      <c r="M136" s="96">
        <v>13756273</v>
      </c>
      <c r="N136" s="100">
        <v>41018</v>
      </c>
      <c r="O136" s="100">
        <v>41018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223000</v>
      </c>
      <c r="E137" s="99">
        <v>0</v>
      </c>
      <c r="F137" s="99"/>
      <c r="G137" s="99">
        <v>8</v>
      </c>
      <c r="H137" s="99" t="s">
        <v>106</v>
      </c>
      <c r="I137" s="99"/>
      <c r="J137" s="99" t="s">
        <v>107</v>
      </c>
      <c r="K137" s="99" t="b">
        <v>0</v>
      </c>
      <c r="L137" s="95">
        <v>2017</v>
      </c>
      <c r="M137" s="96">
        <v>31200000</v>
      </c>
      <c r="N137" s="100">
        <v>41018</v>
      </c>
      <c r="O137" s="100">
        <v>41018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223000</v>
      </c>
      <c r="E138" s="99">
        <v>0</v>
      </c>
      <c r="F138" s="99"/>
      <c r="G138" s="99">
        <v>2</v>
      </c>
      <c r="H138" s="99" t="s">
        <v>96</v>
      </c>
      <c r="I138" s="99"/>
      <c r="J138" s="99" t="s">
        <v>97</v>
      </c>
      <c r="K138" s="99" t="b">
        <v>1</v>
      </c>
      <c r="L138" s="95">
        <v>2022</v>
      </c>
      <c r="M138" s="96">
        <v>81153281</v>
      </c>
      <c r="N138" s="100">
        <v>41018</v>
      </c>
      <c r="O138" s="100">
        <v>41018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223000</v>
      </c>
      <c r="E139" s="99">
        <v>0</v>
      </c>
      <c r="F139" s="99"/>
      <c r="G139" s="99">
        <v>50</v>
      </c>
      <c r="H139" s="99">
        <v>23</v>
      </c>
      <c r="I139" s="99" t="s">
        <v>215</v>
      </c>
      <c r="J139" s="99" t="s">
        <v>151</v>
      </c>
      <c r="K139" s="99" t="b">
        <v>1</v>
      </c>
      <c r="L139" s="95">
        <v>2023</v>
      </c>
      <c r="M139" s="96">
        <v>82119531</v>
      </c>
      <c r="N139" s="100">
        <v>41018</v>
      </c>
      <c r="O139" s="100">
        <v>41018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223000</v>
      </c>
      <c r="E140" s="99">
        <v>0</v>
      </c>
      <c r="F140" s="99"/>
      <c r="G140" s="99">
        <v>46</v>
      </c>
      <c r="H140" s="99">
        <v>21</v>
      </c>
      <c r="I140" s="99" t="s">
        <v>213</v>
      </c>
      <c r="J140" s="99" t="s">
        <v>54</v>
      </c>
      <c r="K140" s="99" t="b">
        <v>1</v>
      </c>
      <c r="L140" s="95">
        <v>2012</v>
      </c>
      <c r="M140" s="96">
        <v>0.0631</v>
      </c>
      <c r="N140" s="100">
        <v>41018</v>
      </c>
      <c r="O140" s="100">
        <v>41018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223000</v>
      </c>
      <c r="E141" s="99">
        <v>0</v>
      </c>
      <c r="F141" s="99"/>
      <c r="G141" s="99">
        <v>43</v>
      </c>
      <c r="H141" s="99" t="s">
        <v>146</v>
      </c>
      <c r="I141" s="99" t="s">
        <v>208</v>
      </c>
      <c r="J141" s="99" t="s">
        <v>76</v>
      </c>
      <c r="K141" s="99" t="b">
        <v>0</v>
      </c>
      <c r="L141" s="95">
        <v>2023</v>
      </c>
      <c r="M141" s="96">
        <v>0.0287</v>
      </c>
      <c r="N141" s="100">
        <v>41018</v>
      </c>
      <c r="O141" s="100">
        <v>41018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223000</v>
      </c>
      <c r="E142" s="99">
        <v>0</v>
      </c>
      <c r="F142" s="99"/>
      <c r="G142" s="99">
        <v>24</v>
      </c>
      <c r="H142" s="99" t="s">
        <v>130</v>
      </c>
      <c r="I142" s="99"/>
      <c r="J142" s="99" t="s">
        <v>131</v>
      </c>
      <c r="K142" s="99" t="b">
        <v>1</v>
      </c>
      <c r="L142" s="95">
        <v>2019</v>
      </c>
      <c r="M142" s="96">
        <v>786714</v>
      </c>
      <c r="N142" s="100">
        <v>41018</v>
      </c>
      <c r="O142" s="100">
        <v>41018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223000</v>
      </c>
      <c r="E143" s="99">
        <v>0</v>
      </c>
      <c r="F143" s="99"/>
      <c r="G143" s="99">
        <v>50</v>
      </c>
      <c r="H143" s="99">
        <v>23</v>
      </c>
      <c r="I143" s="99" t="s">
        <v>215</v>
      </c>
      <c r="J143" s="99" t="s">
        <v>151</v>
      </c>
      <c r="K143" s="99" t="b">
        <v>1</v>
      </c>
      <c r="L143" s="95">
        <v>2024</v>
      </c>
      <c r="M143" s="96">
        <v>83085781</v>
      </c>
      <c r="N143" s="100">
        <v>41018</v>
      </c>
      <c r="O143" s="100">
        <v>41018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223000</v>
      </c>
      <c r="E144" s="99">
        <v>0</v>
      </c>
      <c r="F144" s="99"/>
      <c r="G144" s="99">
        <v>40</v>
      </c>
      <c r="H144" s="99">
        <v>18</v>
      </c>
      <c r="I144" s="99" t="s">
        <v>214</v>
      </c>
      <c r="J144" s="99" t="s">
        <v>71</v>
      </c>
      <c r="K144" s="99" t="b">
        <v>0</v>
      </c>
      <c r="L144" s="95">
        <v>2014</v>
      </c>
      <c r="M144" s="96">
        <v>0.3002</v>
      </c>
      <c r="N144" s="100">
        <v>41018</v>
      </c>
      <c r="O144" s="100">
        <v>41018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223000</v>
      </c>
      <c r="E145" s="99">
        <v>0</v>
      </c>
      <c r="F145" s="99"/>
      <c r="G145" s="99">
        <v>51</v>
      </c>
      <c r="H145" s="99">
        <v>24</v>
      </c>
      <c r="I145" s="99" t="s">
        <v>203</v>
      </c>
      <c r="J145" s="99" t="s">
        <v>152</v>
      </c>
      <c r="K145" s="99" t="b">
        <v>1</v>
      </c>
      <c r="L145" s="95">
        <v>2026</v>
      </c>
      <c r="M145" s="96">
        <v>85000000</v>
      </c>
      <c r="N145" s="100">
        <v>41018</v>
      </c>
      <c r="O145" s="100">
        <v>41018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223000</v>
      </c>
      <c r="E146" s="99">
        <v>0</v>
      </c>
      <c r="F146" s="99"/>
      <c r="G146" s="99">
        <v>28</v>
      </c>
      <c r="H146" s="99" t="s">
        <v>134</v>
      </c>
      <c r="I146" s="99"/>
      <c r="J146" s="99" t="s">
        <v>135</v>
      </c>
      <c r="K146" s="99" t="b">
        <v>0</v>
      </c>
      <c r="L146" s="95">
        <v>2012</v>
      </c>
      <c r="M146" s="96">
        <v>20600000</v>
      </c>
      <c r="N146" s="100">
        <v>41018</v>
      </c>
      <c r="O146" s="100">
        <v>41018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223000</v>
      </c>
      <c r="E147" s="99">
        <v>0</v>
      </c>
      <c r="F147" s="99"/>
      <c r="G147" s="99">
        <v>47</v>
      </c>
      <c r="H147" s="99" t="s">
        <v>149</v>
      </c>
      <c r="I147" s="99" t="s">
        <v>209</v>
      </c>
      <c r="J147" s="99" t="s">
        <v>78</v>
      </c>
      <c r="K147" s="99" t="b">
        <v>0</v>
      </c>
      <c r="L147" s="95">
        <v>2013</v>
      </c>
      <c r="M147" s="96">
        <v>6</v>
      </c>
      <c r="N147" s="100">
        <v>41018</v>
      </c>
      <c r="O147" s="100">
        <v>41018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223000</v>
      </c>
      <c r="E148" s="99">
        <v>0</v>
      </c>
      <c r="F148" s="99"/>
      <c r="G148" s="99">
        <v>20</v>
      </c>
      <c r="H148" s="99">
        <v>7</v>
      </c>
      <c r="I148" s="99" t="s">
        <v>205</v>
      </c>
      <c r="J148" s="99" t="s">
        <v>12</v>
      </c>
      <c r="K148" s="99" t="b">
        <v>1</v>
      </c>
      <c r="L148" s="95">
        <v>2015</v>
      </c>
      <c r="M148" s="96">
        <v>3852234</v>
      </c>
      <c r="N148" s="100">
        <v>41018</v>
      </c>
      <c r="O148" s="100">
        <v>41018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223000</v>
      </c>
      <c r="E149" s="99">
        <v>0</v>
      </c>
      <c r="F149" s="99"/>
      <c r="G149" s="99">
        <v>50</v>
      </c>
      <c r="H149" s="99">
        <v>23</v>
      </c>
      <c r="I149" s="99" t="s">
        <v>215</v>
      </c>
      <c r="J149" s="99" t="s">
        <v>151</v>
      </c>
      <c r="K149" s="99" t="b">
        <v>1</v>
      </c>
      <c r="L149" s="95">
        <v>2020</v>
      </c>
      <c r="M149" s="96">
        <v>79620681</v>
      </c>
      <c r="N149" s="100">
        <v>41018</v>
      </c>
      <c r="O149" s="100">
        <v>41018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223000</v>
      </c>
      <c r="E150" s="99">
        <v>0</v>
      </c>
      <c r="F150" s="99"/>
      <c r="G150" s="99">
        <v>26</v>
      </c>
      <c r="H150" s="99">
        <v>9</v>
      </c>
      <c r="I150" s="99" t="s">
        <v>221</v>
      </c>
      <c r="J150" s="99" t="s">
        <v>133</v>
      </c>
      <c r="K150" s="99" t="b">
        <v>0</v>
      </c>
      <c r="L150" s="95">
        <v>2021</v>
      </c>
      <c r="M150" s="96">
        <v>660000</v>
      </c>
      <c r="N150" s="100">
        <v>41018</v>
      </c>
      <c r="O150" s="100">
        <v>41018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223000</v>
      </c>
      <c r="E151" s="99">
        <v>0</v>
      </c>
      <c r="F151" s="99"/>
      <c r="G151" s="99">
        <v>43</v>
      </c>
      <c r="H151" s="99" t="s">
        <v>146</v>
      </c>
      <c r="I151" s="99" t="s">
        <v>208</v>
      </c>
      <c r="J151" s="99" t="s">
        <v>76</v>
      </c>
      <c r="K151" s="99" t="b">
        <v>0</v>
      </c>
      <c r="L151" s="95">
        <v>2014</v>
      </c>
      <c r="M151" s="96">
        <v>0.0628</v>
      </c>
      <c r="N151" s="100">
        <v>41018</v>
      </c>
      <c r="O151" s="100">
        <v>41018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223000</v>
      </c>
      <c r="E152" s="99">
        <v>0</v>
      </c>
      <c r="F152" s="99"/>
      <c r="G152" s="99">
        <v>50</v>
      </c>
      <c r="H152" s="99">
        <v>23</v>
      </c>
      <c r="I152" s="99" t="s">
        <v>215</v>
      </c>
      <c r="J152" s="99" t="s">
        <v>151</v>
      </c>
      <c r="K152" s="99" t="b">
        <v>1</v>
      </c>
      <c r="L152" s="95">
        <v>2017</v>
      </c>
      <c r="M152" s="96">
        <v>76795313</v>
      </c>
      <c r="N152" s="100">
        <v>41018</v>
      </c>
      <c r="O152" s="100">
        <v>41018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223000</v>
      </c>
      <c r="E153" s="99">
        <v>0</v>
      </c>
      <c r="F153" s="99"/>
      <c r="G153" s="99">
        <v>57</v>
      </c>
      <c r="H153" s="99">
        <v>30</v>
      </c>
      <c r="I153" s="99" t="s">
        <v>201</v>
      </c>
      <c r="J153" s="99" t="s">
        <v>155</v>
      </c>
      <c r="K153" s="99" t="b">
        <v>0</v>
      </c>
      <c r="L153" s="95">
        <v>2026</v>
      </c>
      <c r="M153" s="96">
        <v>500000</v>
      </c>
      <c r="N153" s="100">
        <v>41018</v>
      </c>
      <c r="O153" s="100">
        <v>41018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223000</v>
      </c>
      <c r="E154" s="99">
        <v>0</v>
      </c>
      <c r="F154" s="99"/>
      <c r="G154" s="99">
        <v>4</v>
      </c>
      <c r="H154" s="99" t="s">
        <v>100</v>
      </c>
      <c r="I154" s="99"/>
      <c r="J154" s="99" t="s">
        <v>101</v>
      </c>
      <c r="K154" s="99" t="b">
        <v>1</v>
      </c>
      <c r="L154" s="95">
        <v>2023</v>
      </c>
      <c r="M154" s="96">
        <v>1160000</v>
      </c>
      <c r="N154" s="100">
        <v>41018</v>
      </c>
      <c r="O154" s="100">
        <v>41018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223000</v>
      </c>
      <c r="E155" s="99">
        <v>0</v>
      </c>
      <c r="F155" s="99"/>
      <c r="G155" s="99">
        <v>46</v>
      </c>
      <c r="H155" s="99">
        <v>21</v>
      </c>
      <c r="I155" s="99" t="s">
        <v>213</v>
      </c>
      <c r="J155" s="99" t="s">
        <v>54</v>
      </c>
      <c r="K155" s="99" t="b">
        <v>1</v>
      </c>
      <c r="L155" s="95">
        <v>2015</v>
      </c>
      <c r="M155" s="96">
        <v>0.0475</v>
      </c>
      <c r="N155" s="100">
        <v>41018</v>
      </c>
      <c r="O155" s="100">
        <v>41018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223000</v>
      </c>
      <c r="E156" s="99">
        <v>0</v>
      </c>
      <c r="F156" s="99"/>
      <c r="G156" s="99">
        <v>23</v>
      </c>
      <c r="H156" s="99" t="s">
        <v>128</v>
      </c>
      <c r="I156" s="99"/>
      <c r="J156" s="99" t="s">
        <v>129</v>
      </c>
      <c r="K156" s="99" t="b">
        <v>1</v>
      </c>
      <c r="L156" s="95">
        <v>2013</v>
      </c>
      <c r="M156" s="96">
        <v>1755244</v>
      </c>
      <c r="N156" s="100">
        <v>41018</v>
      </c>
      <c r="O156" s="100">
        <v>41018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223000</v>
      </c>
      <c r="E157" s="99">
        <v>0</v>
      </c>
      <c r="F157" s="99"/>
      <c r="G157" s="99">
        <v>20</v>
      </c>
      <c r="H157" s="99">
        <v>7</v>
      </c>
      <c r="I157" s="99" t="s">
        <v>205</v>
      </c>
      <c r="J157" s="99" t="s">
        <v>12</v>
      </c>
      <c r="K157" s="99" t="b">
        <v>1</v>
      </c>
      <c r="L157" s="95">
        <v>2013</v>
      </c>
      <c r="M157" s="96">
        <v>6075157</v>
      </c>
      <c r="N157" s="100">
        <v>41018</v>
      </c>
      <c r="O157" s="100">
        <v>41018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223000</v>
      </c>
      <c r="E158" s="99">
        <v>0</v>
      </c>
      <c r="F158" s="99"/>
      <c r="G158" s="99">
        <v>1</v>
      </c>
      <c r="H158" s="99">
        <v>1</v>
      </c>
      <c r="I158" s="99" t="s">
        <v>206</v>
      </c>
      <c r="J158" s="99" t="s">
        <v>95</v>
      </c>
      <c r="K158" s="99" t="b">
        <v>1</v>
      </c>
      <c r="L158" s="95">
        <v>2013</v>
      </c>
      <c r="M158" s="96">
        <v>90274501</v>
      </c>
      <c r="N158" s="100">
        <v>41018</v>
      </c>
      <c r="O158" s="100">
        <v>41018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223000</v>
      </c>
      <c r="E159" s="99">
        <v>0</v>
      </c>
      <c r="F159" s="99"/>
      <c r="G159" s="99">
        <v>23</v>
      </c>
      <c r="H159" s="99" t="s">
        <v>128</v>
      </c>
      <c r="I159" s="99"/>
      <c r="J159" s="99" t="s">
        <v>129</v>
      </c>
      <c r="K159" s="99" t="b">
        <v>1</v>
      </c>
      <c r="L159" s="95">
        <v>2017</v>
      </c>
      <c r="M159" s="96">
        <v>1068599</v>
      </c>
      <c r="N159" s="100">
        <v>41018</v>
      </c>
      <c r="O159" s="100">
        <v>41018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223000</v>
      </c>
      <c r="E160" s="99">
        <v>0</v>
      </c>
      <c r="F160" s="99"/>
      <c r="G160" s="99">
        <v>45</v>
      </c>
      <c r="H160" s="99" t="s">
        <v>148</v>
      </c>
      <c r="I160" s="99" t="s">
        <v>210</v>
      </c>
      <c r="J160" s="99" t="s">
        <v>53</v>
      </c>
      <c r="K160" s="99" t="b">
        <v>0</v>
      </c>
      <c r="L160" s="95">
        <v>2019</v>
      </c>
      <c r="M160" s="96">
        <v>0.0467</v>
      </c>
      <c r="N160" s="100">
        <v>41018</v>
      </c>
      <c r="O160" s="100">
        <v>41018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223000</v>
      </c>
      <c r="E161" s="99">
        <v>0</v>
      </c>
      <c r="F161" s="99"/>
      <c r="G161" s="99">
        <v>7</v>
      </c>
      <c r="H161" s="99">
        <v>2</v>
      </c>
      <c r="I161" s="99"/>
      <c r="J161" s="99" t="s">
        <v>3</v>
      </c>
      <c r="K161" s="99" t="b">
        <v>1</v>
      </c>
      <c r="L161" s="95">
        <v>2016</v>
      </c>
      <c r="M161" s="96">
        <v>72645085</v>
      </c>
      <c r="N161" s="100">
        <v>41018</v>
      </c>
      <c r="O161" s="100">
        <v>41018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223000</v>
      </c>
      <c r="E162" s="99">
        <v>0</v>
      </c>
      <c r="F162" s="99"/>
      <c r="G162" s="99">
        <v>52</v>
      </c>
      <c r="H162" s="99">
        <v>25</v>
      </c>
      <c r="I162" s="99" t="s">
        <v>216</v>
      </c>
      <c r="J162" s="99" t="s">
        <v>49</v>
      </c>
      <c r="K162" s="99" t="b">
        <v>1</v>
      </c>
      <c r="L162" s="95">
        <v>2015</v>
      </c>
      <c r="M162" s="96">
        <v>2001733</v>
      </c>
      <c r="N162" s="100">
        <v>41018</v>
      </c>
      <c r="O162" s="100">
        <v>41018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223000</v>
      </c>
      <c r="E163" s="99">
        <v>0</v>
      </c>
      <c r="F163" s="99"/>
      <c r="G163" s="99">
        <v>9</v>
      </c>
      <c r="H163" s="99" t="s">
        <v>108</v>
      </c>
      <c r="I163" s="99"/>
      <c r="J163" s="99" t="s">
        <v>109</v>
      </c>
      <c r="K163" s="99" t="b">
        <v>0</v>
      </c>
      <c r="L163" s="95">
        <v>2014</v>
      </c>
      <c r="M163" s="96">
        <v>11800000</v>
      </c>
      <c r="N163" s="100">
        <v>41018</v>
      </c>
      <c r="O163" s="100">
        <v>41018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223000</v>
      </c>
      <c r="E164" s="99">
        <v>0</v>
      </c>
      <c r="F164" s="99"/>
      <c r="G164" s="99">
        <v>24</v>
      </c>
      <c r="H164" s="99" t="s">
        <v>130</v>
      </c>
      <c r="I164" s="99"/>
      <c r="J164" s="99" t="s">
        <v>131</v>
      </c>
      <c r="K164" s="99" t="b">
        <v>1</v>
      </c>
      <c r="L164" s="95">
        <v>2017</v>
      </c>
      <c r="M164" s="96">
        <v>1068599</v>
      </c>
      <c r="N164" s="100">
        <v>41018</v>
      </c>
      <c r="O164" s="100">
        <v>41018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223000</v>
      </c>
      <c r="E165" s="99">
        <v>0</v>
      </c>
      <c r="F165" s="99"/>
      <c r="G165" s="99">
        <v>7</v>
      </c>
      <c r="H165" s="99">
        <v>2</v>
      </c>
      <c r="I165" s="99"/>
      <c r="J165" s="99" t="s">
        <v>3</v>
      </c>
      <c r="K165" s="99" t="b">
        <v>1</v>
      </c>
      <c r="L165" s="95">
        <v>2015</v>
      </c>
      <c r="M165" s="96">
        <v>71563174</v>
      </c>
      <c r="N165" s="100">
        <v>41018</v>
      </c>
      <c r="O165" s="100">
        <v>41018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223000</v>
      </c>
      <c r="E166" s="99">
        <v>0</v>
      </c>
      <c r="F166" s="99"/>
      <c r="G166" s="99">
        <v>20</v>
      </c>
      <c r="H166" s="99">
        <v>7</v>
      </c>
      <c r="I166" s="99" t="s">
        <v>205</v>
      </c>
      <c r="J166" s="99" t="s">
        <v>12</v>
      </c>
      <c r="K166" s="99" t="b">
        <v>1</v>
      </c>
      <c r="L166" s="95">
        <v>2012</v>
      </c>
      <c r="M166" s="96">
        <v>5599913</v>
      </c>
      <c r="N166" s="100">
        <v>41018</v>
      </c>
      <c r="O166" s="100">
        <v>41018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223000</v>
      </c>
      <c r="E167" s="99">
        <v>0</v>
      </c>
      <c r="F167" s="99"/>
      <c r="G167" s="99">
        <v>48</v>
      </c>
      <c r="H167" s="99">
        <v>22</v>
      </c>
      <c r="I167" s="99" t="s">
        <v>219</v>
      </c>
      <c r="J167" s="99" t="s">
        <v>79</v>
      </c>
      <c r="K167" s="99" t="b">
        <v>0</v>
      </c>
      <c r="L167" s="95">
        <v>2017</v>
      </c>
      <c r="M167" s="96">
        <v>0.0455</v>
      </c>
      <c r="N167" s="100">
        <v>41018</v>
      </c>
      <c r="O167" s="100">
        <v>41018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223000</v>
      </c>
      <c r="E168" s="99">
        <v>0</v>
      </c>
      <c r="F168" s="99"/>
      <c r="G168" s="99">
        <v>24</v>
      </c>
      <c r="H168" s="99" t="s">
        <v>130</v>
      </c>
      <c r="I168" s="99"/>
      <c r="J168" s="99" t="s">
        <v>131</v>
      </c>
      <c r="K168" s="99" t="b">
        <v>1</v>
      </c>
      <c r="L168" s="95">
        <v>2024</v>
      </c>
      <c r="M168" s="96">
        <v>137557</v>
      </c>
      <c r="N168" s="100">
        <v>41018</v>
      </c>
      <c r="O168" s="100">
        <v>41018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223000</v>
      </c>
      <c r="E169" s="99">
        <v>0</v>
      </c>
      <c r="F169" s="99"/>
      <c r="G169" s="99">
        <v>42</v>
      </c>
      <c r="H169" s="99">
        <v>19</v>
      </c>
      <c r="I169" s="99" t="s">
        <v>207</v>
      </c>
      <c r="J169" s="99" t="s">
        <v>74</v>
      </c>
      <c r="K169" s="99" t="b">
        <v>1</v>
      </c>
      <c r="L169" s="95">
        <v>2021</v>
      </c>
      <c r="M169" s="96">
        <v>0.0368</v>
      </c>
      <c r="N169" s="100">
        <v>41018</v>
      </c>
      <c r="O169" s="100">
        <v>41018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223000</v>
      </c>
      <c r="E170" s="99">
        <v>0</v>
      </c>
      <c r="F170" s="99"/>
      <c r="G170" s="99">
        <v>5</v>
      </c>
      <c r="H170" s="99" t="s">
        <v>102</v>
      </c>
      <c r="I170" s="99"/>
      <c r="J170" s="99" t="s">
        <v>103</v>
      </c>
      <c r="K170" s="99" t="b">
        <v>1</v>
      </c>
      <c r="L170" s="95">
        <v>2026</v>
      </c>
      <c r="M170" s="96">
        <v>1160000</v>
      </c>
      <c r="N170" s="100">
        <v>41018</v>
      </c>
      <c r="O170" s="100">
        <v>41018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223000</v>
      </c>
      <c r="E171" s="99">
        <v>0</v>
      </c>
      <c r="F171" s="99"/>
      <c r="G171" s="99">
        <v>57</v>
      </c>
      <c r="H171" s="99">
        <v>30</v>
      </c>
      <c r="I171" s="99" t="s">
        <v>201</v>
      </c>
      <c r="J171" s="99" t="s">
        <v>155</v>
      </c>
      <c r="K171" s="99" t="b">
        <v>0</v>
      </c>
      <c r="L171" s="95">
        <v>2018</v>
      </c>
      <c r="M171" s="96">
        <v>2501733</v>
      </c>
      <c r="N171" s="100">
        <v>41018</v>
      </c>
      <c r="O171" s="100">
        <v>41018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223000</v>
      </c>
      <c r="E172" s="99">
        <v>0</v>
      </c>
      <c r="F172" s="99"/>
      <c r="G172" s="99">
        <v>2</v>
      </c>
      <c r="H172" s="99" t="s">
        <v>96</v>
      </c>
      <c r="I172" s="99"/>
      <c r="J172" s="99" t="s">
        <v>97</v>
      </c>
      <c r="K172" s="99" t="b">
        <v>1</v>
      </c>
      <c r="L172" s="95">
        <v>2016</v>
      </c>
      <c r="M172" s="96">
        <v>75856470</v>
      </c>
      <c r="N172" s="100">
        <v>41018</v>
      </c>
      <c r="O172" s="100">
        <v>41018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223000</v>
      </c>
      <c r="E173" s="99">
        <v>0</v>
      </c>
      <c r="F173" s="99"/>
      <c r="G173" s="99">
        <v>24</v>
      </c>
      <c r="H173" s="99" t="s">
        <v>130</v>
      </c>
      <c r="I173" s="99"/>
      <c r="J173" s="99" t="s">
        <v>131</v>
      </c>
      <c r="K173" s="99" t="b">
        <v>1</v>
      </c>
      <c r="L173" s="95">
        <v>2016</v>
      </c>
      <c r="M173" s="96">
        <v>1209652</v>
      </c>
      <c r="N173" s="100">
        <v>41018</v>
      </c>
      <c r="O173" s="100">
        <v>41018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223000</v>
      </c>
      <c r="E174" s="99">
        <v>0</v>
      </c>
      <c r="F174" s="99"/>
      <c r="G174" s="99">
        <v>4</v>
      </c>
      <c r="H174" s="99" t="s">
        <v>100</v>
      </c>
      <c r="I174" s="99"/>
      <c r="J174" s="99" t="s">
        <v>101</v>
      </c>
      <c r="K174" s="99" t="b">
        <v>1</v>
      </c>
      <c r="L174" s="95">
        <v>2017</v>
      </c>
      <c r="M174" s="96">
        <v>1660000</v>
      </c>
      <c r="N174" s="100">
        <v>41018</v>
      </c>
      <c r="O174" s="100">
        <v>41018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223000</v>
      </c>
      <c r="E175" s="99">
        <v>0</v>
      </c>
      <c r="F175" s="99"/>
      <c r="G175" s="99">
        <v>56</v>
      </c>
      <c r="H175" s="99">
        <v>29</v>
      </c>
      <c r="I175" s="99" t="s">
        <v>222</v>
      </c>
      <c r="J175" s="99" t="s">
        <v>154</v>
      </c>
      <c r="K175" s="99" t="b">
        <v>0</v>
      </c>
      <c r="L175" s="95">
        <v>2012</v>
      </c>
      <c r="M175" s="96">
        <v>14940713</v>
      </c>
      <c r="N175" s="100">
        <v>41018</v>
      </c>
      <c r="O175" s="100">
        <v>41018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223000</v>
      </c>
      <c r="E176" s="99">
        <v>0</v>
      </c>
      <c r="F176" s="99"/>
      <c r="G176" s="99">
        <v>20</v>
      </c>
      <c r="H176" s="99">
        <v>7</v>
      </c>
      <c r="I176" s="99" t="s">
        <v>205</v>
      </c>
      <c r="J176" s="99" t="s">
        <v>12</v>
      </c>
      <c r="K176" s="99" t="b">
        <v>1</v>
      </c>
      <c r="L176" s="95">
        <v>2017</v>
      </c>
      <c r="M176" s="96">
        <v>3570332</v>
      </c>
      <c r="N176" s="100">
        <v>41018</v>
      </c>
      <c r="O176" s="100">
        <v>41018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223000</v>
      </c>
      <c r="E177" s="99">
        <v>0</v>
      </c>
      <c r="F177" s="99"/>
      <c r="G177" s="99">
        <v>8</v>
      </c>
      <c r="H177" s="99" t="s">
        <v>106</v>
      </c>
      <c r="I177" s="99"/>
      <c r="J177" s="99" t="s">
        <v>107</v>
      </c>
      <c r="K177" s="99" t="b">
        <v>0</v>
      </c>
      <c r="L177" s="95">
        <v>2016</v>
      </c>
      <c r="M177" s="96">
        <v>30600000</v>
      </c>
      <c r="N177" s="100">
        <v>41018</v>
      </c>
      <c r="O177" s="100">
        <v>41018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223000</v>
      </c>
      <c r="E178" s="99">
        <v>0</v>
      </c>
      <c r="F178" s="99"/>
      <c r="G178" s="99">
        <v>5</v>
      </c>
      <c r="H178" s="99" t="s">
        <v>102</v>
      </c>
      <c r="I178" s="99"/>
      <c r="J178" s="99" t="s">
        <v>103</v>
      </c>
      <c r="K178" s="99" t="b">
        <v>1</v>
      </c>
      <c r="L178" s="95">
        <v>2013</v>
      </c>
      <c r="M178" s="96">
        <v>17819913</v>
      </c>
      <c r="N178" s="100">
        <v>41018</v>
      </c>
      <c r="O178" s="100">
        <v>41018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223000</v>
      </c>
      <c r="E179" s="99">
        <v>0</v>
      </c>
      <c r="F179" s="99"/>
      <c r="G179" s="99">
        <v>46</v>
      </c>
      <c r="H179" s="99">
        <v>21</v>
      </c>
      <c r="I179" s="99" t="s">
        <v>213</v>
      </c>
      <c r="J179" s="99" t="s">
        <v>54</v>
      </c>
      <c r="K179" s="99" t="b">
        <v>1</v>
      </c>
      <c r="L179" s="95">
        <v>2021</v>
      </c>
      <c r="M179" s="96">
        <v>0.0368</v>
      </c>
      <c r="N179" s="100">
        <v>41018</v>
      </c>
      <c r="O179" s="100">
        <v>41018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223000</v>
      </c>
      <c r="E180" s="99">
        <v>0</v>
      </c>
      <c r="F180" s="99"/>
      <c r="G180" s="99">
        <v>37</v>
      </c>
      <c r="H180" s="99">
        <v>16</v>
      </c>
      <c r="I180" s="99"/>
      <c r="J180" s="99" t="s">
        <v>142</v>
      </c>
      <c r="K180" s="99" t="b">
        <v>1</v>
      </c>
      <c r="L180" s="95">
        <v>2024</v>
      </c>
      <c r="M180" s="96">
        <v>2154460</v>
      </c>
      <c r="N180" s="100">
        <v>41018</v>
      </c>
      <c r="O180" s="100">
        <v>41018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223000</v>
      </c>
      <c r="E181" s="99">
        <v>0</v>
      </c>
      <c r="F181" s="99"/>
      <c r="G181" s="99">
        <v>51</v>
      </c>
      <c r="H181" s="99">
        <v>24</v>
      </c>
      <c r="I181" s="99" t="s">
        <v>203</v>
      </c>
      <c r="J181" s="99" t="s">
        <v>152</v>
      </c>
      <c r="K181" s="99" t="b">
        <v>1</v>
      </c>
      <c r="L181" s="95">
        <v>2016</v>
      </c>
      <c r="M181" s="96">
        <v>73854737</v>
      </c>
      <c r="N181" s="100">
        <v>41018</v>
      </c>
      <c r="O181" s="100">
        <v>41018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223000</v>
      </c>
      <c r="E182" s="99">
        <v>0</v>
      </c>
      <c r="F182" s="99"/>
      <c r="G182" s="99">
        <v>43</v>
      </c>
      <c r="H182" s="99" t="s">
        <v>146</v>
      </c>
      <c r="I182" s="99" t="s">
        <v>208</v>
      </c>
      <c r="J182" s="99" t="s">
        <v>76</v>
      </c>
      <c r="K182" s="99" t="b">
        <v>0</v>
      </c>
      <c r="L182" s="95">
        <v>2022</v>
      </c>
      <c r="M182" s="96">
        <v>0.0306</v>
      </c>
      <c r="N182" s="100">
        <v>41018</v>
      </c>
      <c r="O182" s="100">
        <v>41018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223000</v>
      </c>
      <c r="E183" s="99">
        <v>0</v>
      </c>
      <c r="F183" s="99"/>
      <c r="G183" s="99">
        <v>33</v>
      </c>
      <c r="H183" s="99">
        <v>13</v>
      </c>
      <c r="I183" s="99"/>
      <c r="J183" s="99" t="s">
        <v>68</v>
      </c>
      <c r="K183" s="99" t="b">
        <v>1</v>
      </c>
      <c r="L183" s="95">
        <v>2015</v>
      </c>
      <c r="M183" s="96">
        <v>22473792</v>
      </c>
      <c r="N183" s="100">
        <v>41018</v>
      </c>
      <c r="O183" s="100">
        <v>41018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223000</v>
      </c>
      <c r="E184" s="99">
        <v>0</v>
      </c>
      <c r="F184" s="99"/>
      <c r="G184" s="99">
        <v>51</v>
      </c>
      <c r="H184" s="99">
        <v>24</v>
      </c>
      <c r="I184" s="99" t="s">
        <v>203</v>
      </c>
      <c r="J184" s="99" t="s">
        <v>152</v>
      </c>
      <c r="K184" s="99" t="b">
        <v>1</v>
      </c>
      <c r="L184" s="95">
        <v>2013</v>
      </c>
      <c r="M184" s="96">
        <v>72198315</v>
      </c>
      <c r="N184" s="100">
        <v>41018</v>
      </c>
      <c r="O184" s="100">
        <v>41018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223000</v>
      </c>
      <c r="E185" s="99">
        <v>0</v>
      </c>
      <c r="F185" s="99"/>
      <c r="G185" s="99">
        <v>2</v>
      </c>
      <c r="H185" s="99" t="s">
        <v>96</v>
      </c>
      <c r="I185" s="99"/>
      <c r="J185" s="99" t="s">
        <v>97</v>
      </c>
      <c r="K185" s="99" t="b">
        <v>1</v>
      </c>
      <c r="L185" s="95">
        <v>2015</v>
      </c>
      <c r="M185" s="96">
        <v>74915408</v>
      </c>
      <c r="N185" s="100">
        <v>41018</v>
      </c>
      <c r="O185" s="100">
        <v>41018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223000</v>
      </c>
      <c r="E186" s="99">
        <v>0</v>
      </c>
      <c r="F186" s="99"/>
      <c r="G186" s="99">
        <v>48</v>
      </c>
      <c r="H186" s="99">
        <v>22</v>
      </c>
      <c r="I186" s="99" t="s">
        <v>219</v>
      </c>
      <c r="J186" s="99" t="s">
        <v>79</v>
      </c>
      <c r="K186" s="99" t="b">
        <v>0</v>
      </c>
      <c r="L186" s="95">
        <v>2020</v>
      </c>
      <c r="M186" s="96">
        <v>0.039</v>
      </c>
      <c r="N186" s="100">
        <v>41018</v>
      </c>
      <c r="O186" s="100">
        <v>41018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223000</v>
      </c>
      <c r="E187" s="99">
        <v>0</v>
      </c>
      <c r="F187" s="99"/>
      <c r="G187" s="99">
        <v>7</v>
      </c>
      <c r="H187" s="99">
        <v>2</v>
      </c>
      <c r="I187" s="99"/>
      <c r="J187" s="99" t="s">
        <v>3</v>
      </c>
      <c r="K187" s="99" t="b">
        <v>1</v>
      </c>
      <c r="L187" s="95">
        <v>2026</v>
      </c>
      <c r="M187" s="96">
        <v>84981719</v>
      </c>
      <c r="N187" s="100">
        <v>41018</v>
      </c>
      <c r="O187" s="100">
        <v>41018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223000</v>
      </c>
      <c r="E188" s="99">
        <v>0</v>
      </c>
      <c r="F188" s="99"/>
      <c r="G188" s="99">
        <v>42</v>
      </c>
      <c r="H188" s="99">
        <v>19</v>
      </c>
      <c r="I188" s="99" t="s">
        <v>207</v>
      </c>
      <c r="J188" s="99" t="s">
        <v>74</v>
      </c>
      <c r="K188" s="99" t="b">
        <v>1</v>
      </c>
      <c r="L188" s="95">
        <v>2023</v>
      </c>
      <c r="M188" s="96">
        <v>0.0287</v>
      </c>
      <c r="N188" s="100">
        <v>41018</v>
      </c>
      <c r="O188" s="100">
        <v>41018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223000</v>
      </c>
      <c r="E189" s="99">
        <v>0</v>
      </c>
      <c r="F189" s="99"/>
      <c r="G189" s="99">
        <v>7</v>
      </c>
      <c r="H189" s="99">
        <v>2</v>
      </c>
      <c r="I189" s="99"/>
      <c r="J189" s="99" t="s">
        <v>3</v>
      </c>
      <c r="K189" s="99" t="b">
        <v>1</v>
      </c>
      <c r="L189" s="95">
        <v>2017</v>
      </c>
      <c r="M189" s="96">
        <v>73724981</v>
      </c>
      <c r="N189" s="100">
        <v>41018</v>
      </c>
      <c r="O189" s="100">
        <v>41018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223000</v>
      </c>
      <c r="E190" s="99">
        <v>0</v>
      </c>
      <c r="F190" s="99"/>
      <c r="G190" s="99">
        <v>41</v>
      </c>
      <c r="H190" s="99" t="s">
        <v>145</v>
      </c>
      <c r="I190" s="99" t="s">
        <v>212</v>
      </c>
      <c r="J190" s="99" t="s">
        <v>73</v>
      </c>
      <c r="K190" s="99" t="b">
        <v>0</v>
      </c>
      <c r="L190" s="95">
        <v>2023</v>
      </c>
      <c r="M190" s="96">
        <v>0.0379</v>
      </c>
      <c r="N190" s="100">
        <v>41018</v>
      </c>
      <c r="O190" s="100">
        <v>41018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223000</v>
      </c>
      <c r="E191" s="99">
        <v>0</v>
      </c>
      <c r="F191" s="99"/>
      <c r="G191" s="99">
        <v>46</v>
      </c>
      <c r="H191" s="99">
        <v>21</v>
      </c>
      <c r="I191" s="99" t="s">
        <v>213</v>
      </c>
      <c r="J191" s="99" t="s">
        <v>54</v>
      </c>
      <c r="K191" s="99" t="b">
        <v>1</v>
      </c>
      <c r="L191" s="95">
        <v>2014</v>
      </c>
      <c r="M191" s="96">
        <v>0.0628</v>
      </c>
      <c r="N191" s="100">
        <v>41018</v>
      </c>
      <c r="O191" s="100">
        <v>41018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223000</v>
      </c>
      <c r="E192" s="99">
        <v>0</v>
      </c>
      <c r="F192" s="99"/>
      <c r="G192" s="99">
        <v>14</v>
      </c>
      <c r="H192" s="99">
        <v>3</v>
      </c>
      <c r="I192" s="99" t="s">
        <v>217</v>
      </c>
      <c r="J192" s="99" t="s">
        <v>118</v>
      </c>
      <c r="K192" s="99" t="b">
        <v>1</v>
      </c>
      <c r="L192" s="95">
        <v>2022</v>
      </c>
      <c r="M192" s="96">
        <v>3176119</v>
      </c>
      <c r="N192" s="100">
        <v>41018</v>
      </c>
      <c r="O192" s="100">
        <v>41018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223000</v>
      </c>
      <c r="E193" s="99">
        <v>0</v>
      </c>
      <c r="F193" s="99"/>
      <c r="G193" s="99">
        <v>40</v>
      </c>
      <c r="H193" s="99">
        <v>18</v>
      </c>
      <c r="I193" s="99" t="s">
        <v>214</v>
      </c>
      <c r="J193" s="99" t="s">
        <v>71</v>
      </c>
      <c r="K193" s="99" t="b">
        <v>0</v>
      </c>
      <c r="L193" s="95">
        <v>2022</v>
      </c>
      <c r="M193" s="96">
        <v>0.0645</v>
      </c>
      <c r="N193" s="100">
        <v>41018</v>
      </c>
      <c r="O193" s="100">
        <v>41018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223000</v>
      </c>
      <c r="E194" s="99">
        <v>0</v>
      </c>
      <c r="F194" s="99"/>
      <c r="G194" s="99">
        <v>42</v>
      </c>
      <c r="H194" s="99">
        <v>19</v>
      </c>
      <c r="I194" s="99" t="s">
        <v>207</v>
      </c>
      <c r="J194" s="99" t="s">
        <v>74</v>
      </c>
      <c r="K194" s="99" t="b">
        <v>1</v>
      </c>
      <c r="L194" s="95">
        <v>2026</v>
      </c>
      <c r="M194" s="96">
        <v>0.006</v>
      </c>
      <c r="N194" s="100">
        <v>41018</v>
      </c>
      <c r="O194" s="100">
        <v>41018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223000</v>
      </c>
      <c r="E195" s="99">
        <v>0</v>
      </c>
      <c r="F195" s="99"/>
      <c r="G195" s="99">
        <v>45</v>
      </c>
      <c r="H195" s="99" t="s">
        <v>148</v>
      </c>
      <c r="I195" s="99" t="s">
        <v>210</v>
      </c>
      <c r="J195" s="99" t="s">
        <v>53</v>
      </c>
      <c r="K195" s="99" t="b">
        <v>0</v>
      </c>
      <c r="L195" s="95">
        <v>2024</v>
      </c>
      <c r="M195" s="96">
        <v>0.0356</v>
      </c>
      <c r="N195" s="100">
        <v>41018</v>
      </c>
      <c r="O195" s="100">
        <v>41018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223000</v>
      </c>
      <c r="E196" s="99">
        <v>0</v>
      </c>
      <c r="F196" s="99"/>
      <c r="G196" s="99">
        <v>7</v>
      </c>
      <c r="H196" s="99">
        <v>2</v>
      </c>
      <c r="I196" s="99"/>
      <c r="J196" s="99" t="s">
        <v>3</v>
      </c>
      <c r="K196" s="99" t="b">
        <v>1</v>
      </c>
      <c r="L196" s="95">
        <v>2014</v>
      </c>
      <c r="M196" s="96">
        <v>71535245</v>
      </c>
      <c r="N196" s="100">
        <v>41018</v>
      </c>
      <c r="O196" s="100">
        <v>41018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223000</v>
      </c>
      <c r="E197" s="99">
        <v>0</v>
      </c>
      <c r="F197" s="99"/>
      <c r="G197" s="99">
        <v>21</v>
      </c>
      <c r="H197" s="99" t="s">
        <v>124</v>
      </c>
      <c r="I197" s="99"/>
      <c r="J197" s="99" t="s">
        <v>125</v>
      </c>
      <c r="K197" s="99" t="b">
        <v>1</v>
      </c>
      <c r="L197" s="95">
        <v>2012</v>
      </c>
      <c r="M197" s="96">
        <v>3819913</v>
      </c>
      <c r="N197" s="100">
        <v>41018</v>
      </c>
      <c r="O197" s="100">
        <v>41018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223000</v>
      </c>
      <c r="E198" s="99">
        <v>0</v>
      </c>
      <c r="F198" s="99"/>
      <c r="G198" s="99">
        <v>45</v>
      </c>
      <c r="H198" s="99" t="s">
        <v>148</v>
      </c>
      <c r="I198" s="99" t="s">
        <v>210</v>
      </c>
      <c r="J198" s="99" t="s">
        <v>53</v>
      </c>
      <c r="K198" s="99" t="b">
        <v>0</v>
      </c>
      <c r="L198" s="95">
        <v>2012</v>
      </c>
      <c r="M198" s="96">
        <v>0.0914</v>
      </c>
      <c r="N198" s="100">
        <v>41018</v>
      </c>
      <c r="O198" s="100">
        <v>41018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223000</v>
      </c>
      <c r="E199" s="99">
        <v>0</v>
      </c>
      <c r="F199" s="99"/>
      <c r="G199" s="99">
        <v>55</v>
      </c>
      <c r="H199" s="99">
        <v>28</v>
      </c>
      <c r="I199" s="99" t="s">
        <v>218</v>
      </c>
      <c r="J199" s="99" t="s">
        <v>48</v>
      </c>
      <c r="K199" s="99" t="b">
        <v>0</v>
      </c>
      <c r="L199" s="95">
        <v>2013</v>
      </c>
      <c r="M199" s="96">
        <v>4319913</v>
      </c>
      <c r="N199" s="100">
        <v>41018</v>
      </c>
      <c r="O199" s="100">
        <v>41018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223000</v>
      </c>
      <c r="E200" s="99">
        <v>0</v>
      </c>
      <c r="F200" s="99"/>
      <c r="G200" s="99">
        <v>41</v>
      </c>
      <c r="H200" s="99" t="s">
        <v>145</v>
      </c>
      <c r="I200" s="99" t="s">
        <v>212</v>
      </c>
      <c r="J200" s="99" t="s">
        <v>73</v>
      </c>
      <c r="K200" s="99" t="b">
        <v>0</v>
      </c>
      <c r="L200" s="95">
        <v>2013</v>
      </c>
      <c r="M200" s="96">
        <v>0.3854</v>
      </c>
      <c r="N200" s="100">
        <v>41018</v>
      </c>
      <c r="O200" s="100">
        <v>41018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223000</v>
      </c>
      <c r="E201" s="99">
        <v>0</v>
      </c>
      <c r="F201" s="99"/>
      <c r="G201" s="99">
        <v>19</v>
      </c>
      <c r="H201" s="99">
        <v>6</v>
      </c>
      <c r="I201" s="99" t="s">
        <v>211</v>
      </c>
      <c r="J201" s="99" t="s">
        <v>123</v>
      </c>
      <c r="K201" s="99" t="b">
        <v>0</v>
      </c>
      <c r="L201" s="95">
        <v>2021</v>
      </c>
      <c r="M201" s="96">
        <v>3666544</v>
      </c>
      <c r="N201" s="100">
        <v>41018</v>
      </c>
      <c r="O201" s="100">
        <v>41018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223000</v>
      </c>
      <c r="E202" s="99">
        <v>0</v>
      </c>
      <c r="F202" s="99"/>
      <c r="G202" s="99">
        <v>5</v>
      </c>
      <c r="H202" s="99" t="s">
        <v>102</v>
      </c>
      <c r="I202" s="99"/>
      <c r="J202" s="99" t="s">
        <v>103</v>
      </c>
      <c r="K202" s="99" t="b">
        <v>1</v>
      </c>
      <c r="L202" s="95">
        <v>2018</v>
      </c>
      <c r="M202" s="96">
        <v>1660000</v>
      </c>
      <c r="N202" s="100">
        <v>41018</v>
      </c>
      <c r="O202" s="100">
        <v>41018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223000</v>
      </c>
      <c r="E203" s="99">
        <v>0</v>
      </c>
      <c r="F203" s="99"/>
      <c r="G203" s="99">
        <v>45</v>
      </c>
      <c r="H203" s="99" t="s">
        <v>148</v>
      </c>
      <c r="I203" s="99" t="s">
        <v>210</v>
      </c>
      <c r="J203" s="99" t="s">
        <v>53</v>
      </c>
      <c r="K203" s="99" t="b">
        <v>0</v>
      </c>
      <c r="L203" s="95">
        <v>2015</v>
      </c>
      <c r="M203" s="96">
        <v>0.1809</v>
      </c>
      <c r="N203" s="100">
        <v>41018</v>
      </c>
      <c r="O203" s="100">
        <v>41018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223000</v>
      </c>
      <c r="E204" s="99">
        <v>0</v>
      </c>
      <c r="F204" s="99"/>
      <c r="G204" s="99">
        <v>47</v>
      </c>
      <c r="H204" s="99" t="s">
        <v>149</v>
      </c>
      <c r="I204" s="99" t="s">
        <v>209</v>
      </c>
      <c r="J204" s="99" t="s">
        <v>78</v>
      </c>
      <c r="K204" s="99" t="b">
        <v>0</v>
      </c>
      <c r="L204" s="95">
        <v>2022</v>
      </c>
      <c r="M204" s="96">
        <v>85</v>
      </c>
      <c r="N204" s="100">
        <v>41018</v>
      </c>
      <c r="O204" s="100">
        <v>41018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223000</v>
      </c>
      <c r="E205" s="99">
        <v>0</v>
      </c>
      <c r="F205" s="99"/>
      <c r="G205" s="99">
        <v>29</v>
      </c>
      <c r="H205" s="99" t="s">
        <v>136</v>
      </c>
      <c r="I205" s="99"/>
      <c r="J205" s="99" t="s">
        <v>117</v>
      </c>
      <c r="K205" s="99" t="b">
        <v>0</v>
      </c>
      <c r="L205" s="95">
        <v>2013</v>
      </c>
      <c r="M205" s="96">
        <v>256273</v>
      </c>
      <c r="N205" s="100">
        <v>41018</v>
      </c>
      <c r="O205" s="100">
        <v>41018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223000</v>
      </c>
      <c r="E206" s="99">
        <v>0</v>
      </c>
      <c r="F206" s="99"/>
      <c r="G206" s="99">
        <v>43</v>
      </c>
      <c r="H206" s="99" t="s">
        <v>146</v>
      </c>
      <c r="I206" s="99" t="s">
        <v>208</v>
      </c>
      <c r="J206" s="99" t="s">
        <v>76</v>
      </c>
      <c r="K206" s="99" t="b">
        <v>0</v>
      </c>
      <c r="L206" s="95">
        <v>2013</v>
      </c>
      <c r="M206" s="96">
        <v>0.0673</v>
      </c>
      <c r="N206" s="100">
        <v>41018</v>
      </c>
      <c r="O206" s="100">
        <v>41018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223000</v>
      </c>
      <c r="E207" s="99">
        <v>0</v>
      </c>
      <c r="F207" s="99"/>
      <c r="G207" s="99">
        <v>47</v>
      </c>
      <c r="H207" s="99" t="s">
        <v>149</v>
      </c>
      <c r="I207" s="99" t="s">
        <v>209</v>
      </c>
      <c r="J207" s="99" t="s">
        <v>78</v>
      </c>
      <c r="K207" s="99" t="b">
        <v>0</v>
      </c>
      <c r="L207" s="95">
        <v>2020</v>
      </c>
      <c r="M207" s="96">
        <v>51</v>
      </c>
      <c r="N207" s="100">
        <v>41018</v>
      </c>
      <c r="O207" s="100">
        <v>41018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223000</v>
      </c>
      <c r="E208" s="99">
        <v>0</v>
      </c>
      <c r="F208" s="99"/>
      <c r="G208" s="99">
        <v>41</v>
      </c>
      <c r="H208" s="99" t="s">
        <v>145</v>
      </c>
      <c r="I208" s="99" t="s">
        <v>212</v>
      </c>
      <c r="J208" s="99" t="s">
        <v>73</v>
      </c>
      <c r="K208" s="99" t="b">
        <v>0</v>
      </c>
      <c r="L208" s="95">
        <v>2024</v>
      </c>
      <c r="M208" s="96">
        <v>0.0119</v>
      </c>
      <c r="N208" s="100">
        <v>41018</v>
      </c>
      <c r="O208" s="100">
        <v>41018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223000</v>
      </c>
      <c r="E209" s="99">
        <v>0</v>
      </c>
      <c r="F209" s="99"/>
      <c r="G209" s="99">
        <v>12</v>
      </c>
      <c r="H209" s="99" t="s">
        <v>114</v>
      </c>
      <c r="I209" s="99"/>
      <c r="J209" s="99" t="s">
        <v>115</v>
      </c>
      <c r="K209" s="99" t="b">
        <v>0</v>
      </c>
      <c r="L209" s="95">
        <v>2012</v>
      </c>
      <c r="M209" s="96">
        <v>950295</v>
      </c>
      <c r="N209" s="100">
        <v>41018</v>
      </c>
      <c r="O209" s="100">
        <v>41018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223000</v>
      </c>
      <c r="E210" s="99">
        <v>0</v>
      </c>
      <c r="F210" s="99"/>
      <c r="G210" s="99">
        <v>7</v>
      </c>
      <c r="H210" s="99">
        <v>2</v>
      </c>
      <c r="I210" s="99"/>
      <c r="J210" s="99" t="s">
        <v>3</v>
      </c>
      <c r="K210" s="99" t="b">
        <v>1</v>
      </c>
      <c r="L210" s="95">
        <v>2022</v>
      </c>
      <c r="M210" s="96">
        <v>79137162</v>
      </c>
      <c r="N210" s="100">
        <v>41018</v>
      </c>
      <c r="O210" s="100">
        <v>41018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223000</v>
      </c>
      <c r="E211" s="99">
        <v>0</v>
      </c>
      <c r="F211" s="99"/>
      <c r="G211" s="99">
        <v>54</v>
      </c>
      <c r="H211" s="99">
        <v>27</v>
      </c>
      <c r="I211" s="99" t="s">
        <v>200</v>
      </c>
      <c r="J211" s="99" t="s">
        <v>46</v>
      </c>
      <c r="K211" s="99" t="b">
        <v>0</v>
      </c>
      <c r="L211" s="95">
        <v>2024</v>
      </c>
      <c r="M211" s="96">
        <v>82091321</v>
      </c>
      <c r="N211" s="100">
        <v>41018</v>
      </c>
      <c r="O211" s="100">
        <v>41018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223000</v>
      </c>
      <c r="E212" s="99">
        <v>0</v>
      </c>
      <c r="F212" s="99"/>
      <c r="G212" s="99">
        <v>55</v>
      </c>
      <c r="H212" s="99">
        <v>28</v>
      </c>
      <c r="I212" s="99" t="s">
        <v>218</v>
      </c>
      <c r="J212" s="99" t="s">
        <v>48</v>
      </c>
      <c r="K212" s="99" t="b">
        <v>0</v>
      </c>
      <c r="L212" s="95">
        <v>2026</v>
      </c>
      <c r="M212" s="96">
        <v>500000</v>
      </c>
      <c r="N212" s="100">
        <v>41018</v>
      </c>
      <c r="O212" s="100">
        <v>41018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223000</v>
      </c>
      <c r="E213" s="99">
        <v>0</v>
      </c>
      <c r="F213" s="99"/>
      <c r="G213" s="99">
        <v>9</v>
      </c>
      <c r="H213" s="99" t="s">
        <v>108</v>
      </c>
      <c r="I213" s="99"/>
      <c r="J213" s="99" t="s">
        <v>109</v>
      </c>
      <c r="K213" s="99" t="b">
        <v>0</v>
      </c>
      <c r="L213" s="95">
        <v>2023</v>
      </c>
      <c r="M213" s="96">
        <v>12700000</v>
      </c>
      <c r="N213" s="100">
        <v>41018</v>
      </c>
      <c r="O213" s="100">
        <v>41018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223000</v>
      </c>
      <c r="E214" s="99">
        <v>0</v>
      </c>
      <c r="F214" s="99"/>
      <c r="G214" s="99">
        <v>47</v>
      </c>
      <c r="H214" s="99" t="s">
        <v>149</v>
      </c>
      <c r="I214" s="99" t="s">
        <v>209</v>
      </c>
      <c r="J214" s="99" t="s">
        <v>78</v>
      </c>
      <c r="K214" s="99" t="b">
        <v>0</v>
      </c>
      <c r="L214" s="95">
        <v>2024</v>
      </c>
      <c r="M214" s="96">
        <v>84</v>
      </c>
      <c r="N214" s="100">
        <v>41018</v>
      </c>
      <c r="O214" s="100">
        <v>41018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223000</v>
      </c>
      <c r="E215" s="99">
        <v>0</v>
      </c>
      <c r="F215" s="99"/>
      <c r="G215" s="99">
        <v>45</v>
      </c>
      <c r="H215" s="99" t="s">
        <v>148</v>
      </c>
      <c r="I215" s="99" t="s">
        <v>210</v>
      </c>
      <c r="J215" s="99" t="s">
        <v>53</v>
      </c>
      <c r="K215" s="99" t="b">
        <v>0</v>
      </c>
      <c r="L215" s="95">
        <v>2025</v>
      </c>
      <c r="M215" s="96">
        <v>0.0338</v>
      </c>
      <c r="N215" s="100">
        <v>41018</v>
      </c>
      <c r="O215" s="100">
        <v>41018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223000</v>
      </c>
      <c r="E216" s="99">
        <v>0</v>
      </c>
      <c r="F216" s="99"/>
      <c r="G216" s="99">
        <v>54</v>
      </c>
      <c r="H216" s="99">
        <v>27</v>
      </c>
      <c r="I216" s="99" t="s">
        <v>200</v>
      </c>
      <c r="J216" s="99" t="s">
        <v>46</v>
      </c>
      <c r="K216" s="99" t="b">
        <v>0</v>
      </c>
      <c r="L216" s="95">
        <v>2016</v>
      </c>
      <c r="M216" s="96">
        <v>75014737</v>
      </c>
      <c r="N216" s="100">
        <v>41018</v>
      </c>
      <c r="O216" s="100">
        <v>41018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223000</v>
      </c>
      <c r="E217" s="99">
        <v>0</v>
      </c>
      <c r="F217" s="99"/>
      <c r="G217" s="99">
        <v>19</v>
      </c>
      <c r="H217" s="99">
        <v>6</v>
      </c>
      <c r="I217" s="99" t="s">
        <v>211</v>
      </c>
      <c r="J217" s="99" t="s">
        <v>123</v>
      </c>
      <c r="K217" s="99" t="b">
        <v>0</v>
      </c>
      <c r="L217" s="95">
        <v>2023</v>
      </c>
      <c r="M217" s="96">
        <v>3053087</v>
      </c>
      <c r="N217" s="100">
        <v>41018</v>
      </c>
      <c r="O217" s="100">
        <v>41018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223000</v>
      </c>
      <c r="E218" s="99">
        <v>0</v>
      </c>
      <c r="F218" s="99"/>
      <c r="G218" s="99">
        <v>28</v>
      </c>
      <c r="H218" s="99" t="s">
        <v>134</v>
      </c>
      <c r="I218" s="99"/>
      <c r="J218" s="99" t="s">
        <v>135</v>
      </c>
      <c r="K218" s="99" t="b">
        <v>0</v>
      </c>
      <c r="L218" s="95">
        <v>2014</v>
      </c>
      <c r="M218" s="96">
        <v>15800000</v>
      </c>
      <c r="N218" s="100">
        <v>41018</v>
      </c>
      <c r="O218" s="100">
        <v>41018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223000</v>
      </c>
      <c r="E219" s="99">
        <v>0</v>
      </c>
      <c r="F219" s="99"/>
      <c r="G219" s="99">
        <v>1</v>
      </c>
      <c r="H219" s="99">
        <v>1</v>
      </c>
      <c r="I219" s="99" t="s">
        <v>206</v>
      </c>
      <c r="J219" s="99" t="s">
        <v>95</v>
      </c>
      <c r="K219" s="99" t="b">
        <v>1</v>
      </c>
      <c r="L219" s="95">
        <v>2023</v>
      </c>
      <c r="M219" s="96">
        <v>83279531</v>
      </c>
      <c r="N219" s="100">
        <v>41018</v>
      </c>
      <c r="O219" s="100">
        <v>41018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223000</v>
      </c>
      <c r="E220" s="99">
        <v>0</v>
      </c>
      <c r="F220" s="99"/>
      <c r="G220" s="99">
        <v>55</v>
      </c>
      <c r="H220" s="99">
        <v>28</v>
      </c>
      <c r="I220" s="99" t="s">
        <v>218</v>
      </c>
      <c r="J220" s="99" t="s">
        <v>48</v>
      </c>
      <c r="K220" s="99" t="b">
        <v>0</v>
      </c>
      <c r="L220" s="95">
        <v>2022</v>
      </c>
      <c r="M220" s="96">
        <v>2154468</v>
      </c>
      <c r="N220" s="100">
        <v>41018</v>
      </c>
      <c r="O220" s="100">
        <v>41018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223000</v>
      </c>
      <c r="E221" s="99">
        <v>0</v>
      </c>
      <c r="F221" s="99"/>
      <c r="G221" s="99">
        <v>50</v>
      </c>
      <c r="H221" s="99">
        <v>23</v>
      </c>
      <c r="I221" s="99" t="s">
        <v>215</v>
      </c>
      <c r="J221" s="99" t="s">
        <v>151</v>
      </c>
      <c r="K221" s="99" t="b">
        <v>1</v>
      </c>
      <c r="L221" s="95">
        <v>2013</v>
      </c>
      <c r="M221" s="96">
        <v>72198315</v>
      </c>
      <c r="N221" s="100">
        <v>41018</v>
      </c>
      <c r="O221" s="100">
        <v>41018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223000</v>
      </c>
      <c r="E222" s="99">
        <v>0</v>
      </c>
      <c r="F222" s="99"/>
      <c r="G222" s="99">
        <v>49</v>
      </c>
      <c r="H222" s="99" t="s">
        <v>150</v>
      </c>
      <c r="I222" s="99" t="s">
        <v>204</v>
      </c>
      <c r="J222" s="99" t="s">
        <v>81</v>
      </c>
      <c r="K222" s="99" t="b">
        <v>0</v>
      </c>
      <c r="L222" s="95">
        <v>2024</v>
      </c>
      <c r="M222" s="96">
        <v>84</v>
      </c>
      <c r="N222" s="100">
        <v>41018</v>
      </c>
      <c r="O222" s="100">
        <v>41018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223000</v>
      </c>
      <c r="E223" s="99">
        <v>0</v>
      </c>
      <c r="F223" s="99"/>
      <c r="G223" s="99">
        <v>26</v>
      </c>
      <c r="H223" s="99">
        <v>9</v>
      </c>
      <c r="I223" s="99" t="s">
        <v>221</v>
      </c>
      <c r="J223" s="99" t="s">
        <v>133</v>
      </c>
      <c r="K223" s="99" t="b">
        <v>0</v>
      </c>
      <c r="L223" s="95">
        <v>2020</v>
      </c>
      <c r="M223" s="96">
        <v>660000</v>
      </c>
      <c r="N223" s="100">
        <v>41018</v>
      </c>
      <c r="O223" s="100">
        <v>41018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223000</v>
      </c>
      <c r="E224" s="99">
        <v>0</v>
      </c>
      <c r="F224" s="99"/>
      <c r="G224" s="99">
        <v>48</v>
      </c>
      <c r="H224" s="99">
        <v>22</v>
      </c>
      <c r="I224" s="99" t="s">
        <v>219</v>
      </c>
      <c r="J224" s="99" t="s">
        <v>79</v>
      </c>
      <c r="K224" s="99" t="b">
        <v>0</v>
      </c>
      <c r="L224" s="95">
        <v>2024</v>
      </c>
      <c r="M224" s="96">
        <v>0.0272</v>
      </c>
      <c r="N224" s="100">
        <v>41018</v>
      </c>
      <c r="O224" s="100">
        <v>41018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223000</v>
      </c>
      <c r="E225" s="99">
        <v>0</v>
      </c>
      <c r="F225" s="99"/>
      <c r="G225" s="99">
        <v>37</v>
      </c>
      <c r="H225" s="99">
        <v>16</v>
      </c>
      <c r="I225" s="99"/>
      <c r="J225" s="99" t="s">
        <v>142</v>
      </c>
      <c r="K225" s="99" t="b">
        <v>1</v>
      </c>
      <c r="L225" s="95">
        <v>2021</v>
      </c>
      <c r="M225" s="96">
        <v>2501731</v>
      </c>
      <c r="N225" s="100">
        <v>41018</v>
      </c>
      <c r="O225" s="100">
        <v>41018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223000</v>
      </c>
      <c r="E226" s="99">
        <v>0</v>
      </c>
      <c r="F226" s="99"/>
      <c r="G226" s="99">
        <v>52</v>
      </c>
      <c r="H226" s="99">
        <v>25</v>
      </c>
      <c r="I226" s="99" t="s">
        <v>216</v>
      </c>
      <c r="J226" s="99" t="s">
        <v>49</v>
      </c>
      <c r="K226" s="99" t="b">
        <v>1</v>
      </c>
      <c r="L226" s="95">
        <v>2018</v>
      </c>
      <c r="M226" s="96">
        <v>2001733</v>
      </c>
      <c r="N226" s="100">
        <v>41018</v>
      </c>
      <c r="O226" s="100">
        <v>41018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223000</v>
      </c>
      <c r="E227" s="99">
        <v>0</v>
      </c>
      <c r="F227" s="99"/>
      <c r="G227" s="99">
        <v>27</v>
      </c>
      <c r="H227" s="99">
        <v>10</v>
      </c>
      <c r="I227" s="99"/>
      <c r="J227" s="99" t="s">
        <v>18</v>
      </c>
      <c r="K227" s="99" t="b">
        <v>0</v>
      </c>
      <c r="L227" s="95">
        <v>2018</v>
      </c>
      <c r="M227" s="96">
        <v>1160000</v>
      </c>
      <c r="N227" s="100">
        <v>41018</v>
      </c>
      <c r="O227" s="100">
        <v>41018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223000</v>
      </c>
      <c r="E228" s="99">
        <v>0</v>
      </c>
      <c r="F228" s="99"/>
      <c r="G228" s="99">
        <v>48</v>
      </c>
      <c r="H228" s="99">
        <v>22</v>
      </c>
      <c r="I228" s="99" t="s">
        <v>219</v>
      </c>
      <c r="J228" s="99" t="s">
        <v>79</v>
      </c>
      <c r="K228" s="99" t="b">
        <v>0</v>
      </c>
      <c r="L228" s="95">
        <v>2015</v>
      </c>
      <c r="M228" s="96">
        <v>0.0475</v>
      </c>
      <c r="N228" s="100">
        <v>41018</v>
      </c>
      <c r="O228" s="100">
        <v>41018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223000</v>
      </c>
      <c r="E229" s="99">
        <v>0</v>
      </c>
      <c r="F229" s="99"/>
      <c r="G229" s="99">
        <v>44</v>
      </c>
      <c r="H229" s="99">
        <v>20</v>
      </c>
      <c r="I229" s="99" t="s">
        <v>202</v>
      </c>
      <c r="J229" s="99" t="s">
        <v>147</v>
      </c>
      <c r="K229" s="99" t="b">
        <v>1</v>
      </c>
      <c r="L229" s="95">
        <v>2016</v>
      </c>
      <c r="M229" s="96">
        <v>0.0472</v>
      </c>
      <c r="N229" s="100">
        <v>41018</v>
      </c>
      <c r="O229" s="100">
        <v>41018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223000</v>
      </c>
      <c r="E230" s="99">
        <v>0</v>
      </c>
      <c r="F230" s="99"/>
      <c r="G230" s="99">
        <v>55</v>
      </c>
      <c r="H230" s="99">
        <v>28</v>
      </c>
      <c r="I230" s="99" t="s">
        <v>218</v>
      </c>
      <c r="J230" s="99" t="s">
        <v>48</v>
      </c>
      <c r="K230" s="99" t="b">
        <v>0</v>
      </c>
      <c r="L230" s="95">
        <v>2015</v>
      </c>
      <c r="M230" s="96">
        <v>2501733</v>
      </c>
      <c r="N230" s="100">
        <v>41018</v>
      </c>
      <c r="O230" s="100">
        <v>41018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223000</v>
      </c>
      <c r="E231" s="99">
        <v>0</v>
      </c>
      <c r="F231" s="99"/>
      <c r="G231" s="99">
        <v>49</v>
      </c>
      <c r="H231" s="99" t="s">
        <v>150</v>
      </c>
      <c r="I231" s="99" t="s">
        <v>204</v>
      </c>
      <c r="J231" s="99" t="s">
        <v>81</v>
      </c>
      <c r="K231" s="99" t="b">
        <v>0</v>
      </c>
      <c r="L231" s="95">
        <v>2016</v>
      </c>
      <c r="M231" s="96">
        <v>1234</v>
      </c>
      <c r="N231" s="100">
        <v>41018</v>
      </c>
      <c r="O231" s="100">
        <v>41018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223000</v>
      </c>
      <c r="E232" s="99">
        <v>0</v>
      </c>
      <c r="F232" s="99"/>
      <c r="G232" s="99">
        <v>1</v>
      </c>
      <c r="H232" s="99">
        <v>1</v>
      </c>
      <c r="I232" s="99" t="s">
        <v>206</v>
      </c>
      <c r="J232" s="99" t="s">
        <v>95</v>
      </c>
      <c r="K232" s="99" t="b">
        <v>1</v>
      </c>
      <c r="L232" s="95">
        <v>2026</v>
      </c>
      <c r="M232" s="96">
        <v>86160000</v>
      </c>
      <c r="N232" s="100">
        <v>41018</v>
      </c>
      <c r="O232" s="100">
        <v>41018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223000</v>
      </c>
      <c r="E233" s="99">
        <v>0</v>
      </c>
      <c r="F233" s="99"/>
      <c r="G233" s="99">
        <v>9</v>
      </c>
      <c r="H233" s="99" t="s">
        <v>108</v>
      </c>
      <c r="I233" s="99"/>
      <c r="J233" s="99" t="s">
        <v>109</v>
      </c>
      <c r="K233" s="99" t="b">
        <v>0</v>
      </c>
      <c r="L233" s="95">
        <v>2018</v>
      </c>
      <c r="M233" s="96">
        <v>12200000</v>
      </c>
      <c r="N233" s="100">
        <v>41018</v>
      </c>
      <c r="O233" s="100">
        <v>41018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223000</v>
      </c>
      <c r="E234" s="99">
        <v>0</v>
      </c>
      <c r="F234" s="99"/>
      <c r="G234" s="99">
        <v>20</v>
      </c>
      <c r="H234" s="99">
        <v>7</v>
      </c>
      <c r="I234" s="99" t="s">
        <v>205</v>
      </c>
      <c r="J234" s="99" t="s">
        <v>12</v>
      </c>
      <c r="K234" s="99" t="b">
        <v>1</v>
      </c>
      <c r="L234" s="95">
        <v>2026</v>
      </c>
      <c r="M234" s="96">
        <v>518281</v>
      </c>
      <c r="N234" s="100">
        <v>41018</v>
      </c>
      <c r="O234" s="100">
        <v>41018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223000</v>
      </c>
      <c r="E235" s="99">
        <v>0</v>
      </c>
      <c r="F235" s="99"/>
      <c r="G235" s="99">
        <v>52</v>
      </c>
      <c r="H235" s="99">
        <v>25</v>
      </c>
      <c r="I235" s="99" t="s">
        <v>216</v>
      </c>
      <c r="J235" s="99" t="s">
        <v>49</v>
      </c>
      <c r="K235" s="99" t="b">
        <v>1</v>
      </c>
      <c r="L235" s="95">
        <v>2023</v>
      </c>
      <c r="M235" s="96">
        <v>1654468</v>
      </c>
      <c r="N235" s="100">
        <v>41018</v>
      </c>
      <c r="O235" s="100">
        <v>41018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223000</v>
      </c>
      <c r="E236" s="99">
        <v>0</v>
      </c>
      <c r="F236" s="99"/>
      <c r="G236" s="99">
        <v>43</v>
      </c>
      <c r="H236" s="99" t="s">
        <v>146</v>
      </c>
      <c r="I236" s="99" t="s">
        <v>208</v>
      </c>
      <c r="J236" s="99" t="s">
        <v>76</v>
      </c>
      <c r="K236" s="99" t="b">
        <v>0</v>
      </c>
      <c r="L236" s="95">
        <v>2012</v>
      </c>
      <c r="M236" s="96">
        <v>0.0631</v>
      </c>
      <c r="N236" s="100">
        <v>41018</v>
      </c>
      <c r="O236" s="100">
        <v>41018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223000</v>
      </c>
      <c r="E237" s="99">
        <v>0</v>
      </c>
      <c r="F237" s="99"/>
      <c r="G237" s="99">
        <v>27</v>
      </c>
      <c r="H237" s="99">
        <v>10</v>
      </c>
      <c r="I237" s="99"/>
      <c r="J237" s="99" t="s">
        <v>18</v>
      </c>
      <c r="K237" s="99" t="b">
        <v>0</v>
      </c>
      <c r="L237" s="95">
        <v>2026</v>
      </c>
      <c r="M237" s="96">
        <v>660000</v>
      </c>
      <c r="N237" s="100">
        <v>41018</v>
      </c>
      <c r="O237" s="100">
        <v>41018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223000</v>
      </c>
      <c r="E238" s="99">
        <v>0</v>
      </c>
      <c r="F238" s="99"/>
      <c r="G238" s="99">
        <v>24</v>
      </c>
      <c r="H238" s="99" t="s">
        <v>130</v>
      </c>
      <c r="I238" s="99"/>
      <c r="J238" s="99" t="s">
        <v>131</v>
      </c>
      <c r="K238" s="99" t="b">
        <v>1</v>
      </c>
      <c r="L238" s="95">
        <v>2023</v>
      </c>
      <c r="M238" s="96">
        <v>238619</v>
      </c>
      <c r="N238" s="100">
        <v>41018</v>
      </c>
      <c r="O238" s="100">
        <v>41018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223000</v>
      </c>
      <c r="E239" s="99">
        <v>0</v>
      </c>
      <c r="F239" s="99"/>
      <c r="G239" s="99">
        <v>14</v>
      </c>
      <c r="H239" s="99">
        <v>3</v>
      </c>
      <c r="I239" s="99" t="s">
        <v>217</v>
      </c>
      <c r="J239" s="99" t="s">
        <v>118</v>
      </c>
      <c r="K239" s="99" t="b">
        <v>1</v>
      </c>
      <c r="L239" s="95">
        <v>2023</v>
      </c>
      <c r="M239" s="96">
        <v>3053087</v>
      </c>
      <c r="N239" s="100">
        <v>41018</v>
      </c>
      <c r="O239" s="100">
        <v>41018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223000</v>
      </c>
      <c r="E240" s="99">
        <v>0</v>
      </c>
      <c r="F240" s="99"/>
      <c r="G240" s="99">
        <v>53</v>
      </c>
      <c r="H240" s="99">
        <v>26</v>
      </c>
      <c r="I240" s="99" t="s">
        <v>220</v>
      </c>
      <c r="J240" s="99" t="s">
        <v>153</v>
      </c>
      <c r="K240" s="99" t="b">
        <v>1</v>
      </c>
      <c r="L240" s="95">
        <v>2017</v>
      </c>
      <c r="M240" s="96">
        <v>78455313</v>
      </c>
      <c r="N240" s="100">
        <v>41018</v>
      </c>
      <c r="O240" s="100">
        <v>41018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223000</v>
      </c>
      <c r="E241" s="99">
        <v>0</v>
      </c>
      <c r="F241" s="99"/>
      <c r="G241" s="99">
        <v>40</v>
      </c>
      <c r="H241" s="99">
        <v>18</v>
      </c>
      <c r="I241" s="99" t="s">
        <v>214</v>
      </c>
      <c r="J241" s="99" t="s">
        <v>71</v>
      </c>
      <c r="K241" s="99" t="b">
        <v>0</v>
      </c>
      <c r="L241" s="95">
        <v>2021</v>
      </c>
      <c r="M241" s="96">
        <v>0.0913</v>
      </c>
      <c r="N241" s="100">
        <v>41018</v>
      </c>
      <c r="O241" s="100">
        <v>41018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223000</v>
      </c>
      <c r="E242" s="99">
        <v>0</v>
      </c>
      <c r="F242" s="99"/>
      <c r="G242" s="99">
        <v>54</v>
      </c>
      <c r="H242" s="99">
        <v>27</v>
      </c>
      <c r="I242" s="99" t="s">
        <v>200</v>
      </c>
      <c r="J242" s="99" t="s">
        <v>46</v>
      </c>
      <c r="K242" s="99" t="b">
        <v>0</v>
      </c>
      <c r="L242" s="95">
        <v>2014</v>
      </c>
      <c r="M242" s="96">
        <v>88869757</v>
      </c>
      <c r="N242" s="100">
        <v>41018</v>
      </c>
      <c r="O242" s="100">
        <v>41018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223000</v>
      </c>
      <c r="E243" s="99">
        <v>0</v>
      </c>
      <c r="F243" s="99"/>
      <c r="G243" s="99">
        <v>47</v>
      </c>
      <c r="H243" s="99" t="s">
        <v>149</v>
      </c>
      <c r="I243" s="99" t="s">
        <v>209</v>
      </c>
      <c r="J243" s="99" t="s">
        <v>78</v>
      </c>
      <c r="K243" s="99" t="b">
        <v>0</v>
      </c>
      <c r="L243" s="95">
        <v>2023</v>
      </c>
      <c r="M243" s="96">
        <v>86</v>
      </c>
      <c r="N243" s="100">
        <v>41018</v>
      </c>
      <c r="O243" s="100">
        <v>41018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223000</v>
      </c>
      <c r="E244" s="99">
        <v>0</v>
      </c>
      <c r="F244" s="99"/>
      <c r="G244" s="99">
        <v>19</v>
      </c>
      <c r="H244" s="99">
        <v>6</v>
      </c>
      <c r="I244" s="99" t="s">
        <v>211</v>
      </c>
      <c r="J244" s="99" t="s">
        <v>123</v>
      </c>
      <c r="K244" s="99" t="b">
        <v>0</v>
      </c>
      <c r="L244" s="95">
        <v>2016</v>
      </c>
      <c r="M244" s="96">
        <v>4871385</v>
      </c>
      <c r="N244" s="100">
        <v>41018</v>
      </c>
      <c r="O244" s="100">
        <v>41018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223000</v>
      </c>
      <c r="E245" s="99">
        <v>0</v>
      </c>
      <c r="F245" s="99"/>
      <c r="G245" s="99">
        <v>45</v>
      </c>
      <c r="H245" s="99" t="s">
        <v>148</v>
      </c>
      <c r="I245" s="99" t="s">
        <v>210</v>
      </c>
      <c r="J245" s="99" t="s">
        <v>53</v>
      </c>
      <c r="K245" s="99" t="b">
        <v>0</v>
      </c>
      <c r="L245" s="95">
        <v>2023</v>
      </c>
      <c r="M245" s="96">
        <v>0.0373</v>
      </c>
      <c r="N245" s="100">
        <v>41018</v>
      </c>
      <c r="O245" s="100">
        <v>41018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223000</v>
      </c>
      <c r="E246" s="99">
        <v>0</v>
      </c>
      <c r="F246" s="99"/>
      <c r="G246" s="99">
        <v>23</v>
      </c>
      <c r="H246" s="99" t="s">
        <v>128</v>
      </c>
      <c r="I246" s="99"/>
      <c r="J246" s="99" t="s">
        <v>129</v>
      </c>
      <c r="K246" s="99" t="b">
        <v>1</v>
      </c>
      <c r="L246" s="95">
        <v>2024</v>
      </c>
      <c r="M246" s="96">
        <v>137557</v>
      </c>
      <c r="N246" s="100">
        <v>41018</v>
      </c>
      <c r="O246" s="100">
        <v>41018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223000</v>
      </c>
      <c r="E247" s="99">
        <v>0</v>
      </c>
      <c r="F247" s="99"/>
      <c r="G247" s="99">
        <v>5</v>
      </c>
      <c r="H247" s="99" t="s">
        <v>102</v>
      </c>
      <c r="I247" s="99"/>
      <c r="J247" s="99" t="s">
        <v>103</v>
      </c>
      <c r="K247" s="99" t="b">
        <v>1</v>
      </c>
      <c r="L247" s="95">
        <v>2017</v>
      </c>
      <c r="M247" s="96">
        <v>1660000</v>
      </c>
      <c r="N247" s="100">
        <v>41018</v>
      </c>
      <c r="O247" s="100">
        <v>41018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223000</v>
      </c>
      <c r="E248" s="99">
        <v>0</v>
      </c>
      <c r="F248" s="99"/>
      <c r="G248" s="99">
        <v>33</v>
      </c>
      <c r="H248" s="99">
        <v>13</v>
      </c>
      <c r="I248" s="99"/>
      <c r="J248" s="99" t="s">
        <v>68</v>
      </c>
      <c r="K248" s="99" t="b">
        <v>1</v>
      </c>
      <c r="L248" s="95">
        <v>2016</v>
      </c>
      <c r="M248" s="96">
        <v>19972059</v>
      </c>
      <c r="N248" s="100">
        <v>41018</v>
      </c>
      <c r="O248" s="100">
        <v>41018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223000</v>
      </c>
      <c r="E249" s="99">
        <v>0</v>
      </c>
      <c r="F249" s="99"/>
      <c r="G249" s="99">
        <v>23</v>
      </c>
      <c r="H249" s="99" t="s">
        <v>128</v>
      </c>
      <c r="I249" s="99"/>
      <c r="J249" s="99" t="s">
        <v>129</v>
      </c>
      <c r="K249" s="99" t="b">
        <v>1</v>
      </c>
      <c r="L249" s="95">
        <v>2023</v>
      </c>
      <c r="M249" s="96">
        <v>238619</v>
      </c>
      <c r="N249" s="100">
        <v>41018</v>
      </c>
      <c r="O249" s="100">
        <v>41018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223000</v>
      </c>
      <c r="E250" s="99">
        <v>0</v>
      </c>
      <c r="F250" s="99"/>
      <c r="G250" s="99">
        <v>46</v>
      </c>
      <c r="H250" s="99">
        <v>21</v>
      </c>
      <c r="I250" s="99" t="s">
        <v>213</v>
      </c>
      <c r="J250" s="99" t="s">
        <v>54</v>
      </c>
      <c r="K250" s="99" t="b">
        <v>1</v>
      </c>
      <c r="L250" s="95">
        <v>2018</v>
      </c>
      <c r="M250" s="96">
        <v>0.0432</v>
      </c>
      <c r="N250" s="100">
        <v>41018</v>
      </c>
      <c r="O250" s="100">
        <v>41018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223000</v>
      </c>
      <c r="E251" s="99">
        <v>0</v>
      </c>
      <c r="F251" s="99"/>
      <c r="G251" s="99">
        <v>50</v>
      </c>
      <c r="H251" s="99">
        <v>23</v>
      </c>
      <c r="I251" s="99" t="s">
        <v>215</v>
      </c>
      <c r="J251" s="99" t="s">
        <v>151</v>
      </c>
      <c r="K251" s="99" t="b">
        <v>1</v>
      </c>
      <c r="L251" s="95">
        <v>2018</v>
      </c>
      <c r="M251" s="96">
        <v>77689468</v>
      </c>
      <c r="N251" s="100">
        <v>41018</v>
      </c>
      <c r="O251" s="100">
        <v>41018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223000</v>
      </c>
      <c r="E252" s="99">
        <v>0</v>
      </c>
      <c r="F252" s="99"/>
      <c r="G252" s="99">
        <v>27</v>
      </c>
      <c r="H252" s="99">
        <v>10</v>
      </c>
      <c r="I252" s="99"/>
      <c r="J252" s="99" t="s">
        <v>18</v>
      </c>
      <c r="K252" s="99" t="b">
        <v>0</v>
      </c>
      <c r="L252" s="95">
        <v>2016</v>
      </c>
      <c r="M252" s="96">
        <v>1160000</v>
      </c>
      <c r="N252" s="100">
        <v>41018</v>
      </c>
      <c r="O252" s="100">
        <v>41018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223000</v>
      </c>
      <c r="E253" s="99">
        <v>0</v>
      </c>
      <c r="F253" s="99"/>
      <c r="G253" s="99">
        <v>37</v>
      </c>
      <c r="H253" s="99">
        <v>16</v>
      </c>
      <c r="I253" s="99"/>
      <c r="J253" s="99" t="s">
        <v>142</v>
      </c>
      <c r="K253" s="99" t="b">
        <v>1</v>
      </c>
      <c r="L253" s="95">
        <v>2016</v>
      </c>
      <c r="M253" s="96">
        <v>2501733</v>
      </c>
      <c r="N253" s="100">
        <v>41018</v>
      </c>
      <c r="O253" s="100">
        <v>41018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223000</v>
      </c>
      <c r="E254" s="99">
        <v>0</v>
      </c>
      <c r="F254" s="99"/>
      <c r="G254" s="99">
        <v>52</v>
      </c>
      <c r="H254" s="99">
        <v>25</v>
      </c>
      <c r="I254" s="99" t="s">
        <v>216</v>
      </c>
      <c r="J254" s="99" t="s">
        <v>49</v>
      </c>
      <c r="K254" s="99" t="b">
        <v>1</v>
      </c>
      <c r="L254" s="95">
        <v>2016</v>
      </c>
      <c r="M254" s="96">
        <v>2001733</v>
      </c>
      <c r="N254" s="100">
        <v>41018</v>
      </c>
      <c r="O254" s="100">
        <v>41018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223000</v>
      </c>
      <c r="E255" s="99">
        <v>0</v>
      </c>
      <c r="F255" s="99"/>
      <c r="G255" s="99">
        <v>7</v>
      </c>
      <c r="H255" s="99">
        <v>2</v>
      </c>
      <c r="I255" s="99"/>
      <c r="J255" s="99" t="s">
        <v>3</v>
      </c>
      <c r="K255" s="99" t="b">
        <v>1</v>
      </c>
      <c r="L255" s="95">
        <v>2024</v>
      </c>
      <c r="M255" s="96">
        <v>81293764</v>
      </c>
      <c r="N255" s="100">
        <v>41018</v>
      </c>
      <c r="O255" s="100">
        <v>41018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223000</v>
      </c>
      <c r="E256" s="99">
        <v>0</v>
      </c>
      <c r="F256" s="99"/>
      <c r="G256" s="99">
        <v>42</v>
      </c>
      <c r="H256" s="99">
        <v>19</v>
      </c>
      <c r="I256" s="99" t="s">
        <v>207</v>
      </c>
      <c r="J256" s="99" t="s">
        <v>74</v>
      </c>
      <c r="K256" s="99" t="b">
        <v>1</v>
      </c>
      <c r="L256" s="95">
        <v>2017</v>
      </c>
      <c r="M256" s="96">
        <v>0.0455</v>
      </c>
      <c r="N256" s="100">
        <v>41018</v>
      </c>
      <c r="O256" s="100">
        <v>41018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223000</v>
      </c>
      <c r="E257" s="99">
        <v>0</v>
      </c>
      <c r="F257" s="99"/>
      <c r="G257" s="99">
        <v>2</v>
      </c>
      <c r="H257" s="99" t="s">
        <v>96</v>
      </c>
      <c r="I257" s="99"/>
      <c r="J257" s="99" t="s">
        <v>97</v>
      </c>
      <c r="K257" s="99" t="b">
        <v>1</v>
      </c>
      <c r="L257" s="95">
        <v>2018</v>
      </c>
      <c r="M257" s="96">
        <v>77689468</v>
      </c>
      <c r="N257" s="100">
        <v>41018</v>
      </c>
      <c r="O257" s="100">
        <v>41018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223000</v>
      </c>
      <c r="E258" s="99">
        <v>0</v>
      </c>
      <c r="F258" s="99"/>
      <c r="G258" s="99">
        <v>54</v>
      </c>
      <c r="H258" s="99">
        <v>27</v>
      </c>
      <c r="I258" s="99" t="s">
        <v>200</v>
      </c>
      <c r="J258" s="99" t="s">
        <v>46</v>
      </c>
      <c r="K258" s="99" t="b">
        <v>0</v>
      </c>
      <c r="L258" s="95">
        <v>2026</v>
      </c>
      <c r="M258" s="96">
        <v>85660000</v>
      </c>
      <c r="N258" s="100">
        <v>41018</v>
      </c>
      <c r="O258" s="100">
        <v>41018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223000</v>
      </c>
      <c r="E259" s="99">
        <v>0</v>
      </c>
      <c r="F259" s="99"/>
      <c r="G259" s="99">
        <v>27</v>
      </c>
      <c r="H259" s="99">
        <v>10</v>
      </c>
      <c r="I259" s="99"/>
      <c r="J259" s="99" t="s">
        <v>18</v>
      </c>
      <c r="K259" s="99" t="b">
        <v>0</v>
      </c>
      <c r="L259" s="95">
        <v>2025</v>
      </c>
      <c r="M259" s="96">
        <v>660000</v>
      </c>
      <c r="N259" s="100">
        <v>41018</v>
      </c>
      <c r="O259" s="100">
        <v>41018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223000</v>
      </c>
      <c r="E260" s="99">
        <v>0</v>
      </c>
      <c r="F260" s="99"/>
      <c r="G260" s="99">
        <v>1</v>
      </c>
      <c r="H260" s="99">
        <v>1</v>
      </c>
      <c r="I260" s="99" t="s">
        <v>206</v>
      </c>
      <c r="J260" s="99" t="s">
        <v>95</v>
      </c>
      <c r="K260" s="99" t="b">
        <v>1</v>
      </c>
      <c r="L260" s="95">
        <v>2018</v>
      </c>
      <c r="M260" s="96">
        <v>79349468</v>
      </c>
      <c r="N260" s="100">
        <v>41018</v>
      </c>
      <c r="O260" s="100">
        <v>41018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223000</v>
      </c>
      <c r="E261" s="99">
        <v>0</v>
      </c>
      <c r="F261" s="99"/>
      <c r="G261" s="99">
        <v>19</v>
      </c>
      <c r="H261" s="99">
        <v>6</v>
      </c>
      <c r="I261" s="99" t="s">
        <v>211</v>
      </c>
      <c r="J261" s="99" t="s">
        <v>123</v>
      </c>
      <c r="K261" s="99" t="b">
        <v>0</v>
      </c>
      <c r="L261" s="95">
        <v>2024</v>
      </c>
      <c r="M261" s="96">
        <v>2952017</v>
      </c>
      <c r="N261" s="100">
        <v>41018</v>
      </c>
      <c r="O261" s="100">
        <v>41018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223000</v>
      </c>
      <c r="E262" s="99">
        <v>0</v>
      </c>
      <c r="F262" s="99"/>
      <c r="G262" s="99">
        <v>45</v>
      </c>
      <c r="H262" s="99" t="s">
        <v>148</v>
      </c>
      <c r="I262" s="99" t="s">
        <v>210</v>
      </c>
      <c r="J262" s="99" t="s">
        <v>53</v>
      </c>
      <c r="K262" s="99" t="b">
        <v>0</v>
      </c>
      <c r="L262" s="95">
        <v>2026</v>
      </c>
      <c r="M262" s="96">
        <v>0.0269</v>
      </c>
      <c r="N262" s="100">
        <v>41018</v>
      </c>
      <c r="O262" s="100">
        <v>41018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223000</v>
      </c>
      <c r="E263" s="99">
        <v>0</v>
      </c>
      <c r="F263" s="99"/>
      <c r="G263" s="99">
        <v>46</v>
      </c>
      <c r="H263" s="99">
        <v>21</v>
      </c>
      <c r="I263" s="99" t="s">
        <v>213</v>
      </c>
      <c r="J263" s="99" t="s">
        <v>54</v>
      </c>
      <c r="K263" s="99" t="b">
        <v>1</v>
      </c>
      <c r="L263" s="95">
        <v>2026</v>
      </c>
      <c r="M263" s="96">
        <v>0.006</v>
      </c>
      <c r="N263" s="100">
        <v>41018</v>
      </c>
      <c r="O263" s="100">
        <v>41018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223000</v>
      </c>
      <c r="E264" s="99">
        <v>0</v>
      </c>
      <c r="F264" s="99"/>
      <c r="G264" s="99">
        <v>26</v>
      </c>
      <c r="H264" s="99">
        <v>9</v>
      </c>
      <c r="I264" s="99" t="s">
        <v>221</v>
      </c>
      <c r="J264" s="99" t="s">
        <v>133</v>
      </c>
      <c r="K264" s="99" t="b">
        <v>0</v>
      </c>
      <c r="L264" s="95">
        <v>2016</v>
      </c>
      <c r="M264" s="96">
        <v>1160000</v>
      </c>
      <c r="N264" s="100">
        <v>41018</v>
      </c>
      <c r="O264" s="100">
        <v>41018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223000</v>
      </c>
      <c r="E265" s="99">
        <v>0</v>
      </c>
      <c r="F265" s="99"/>
      <c r="G265" s="99">
        <v>48</v>
      </c>
      <c r="H265" s="99">
        <v>22</v>
      </c>
      <c r="I265" s="99" t="s">
        <v>219</v>
      </c>
      <c r="J265" s="99" t="s">
        <v>79</v>
      </c>
      <c r="K265" s="99" t="b">
        <v>0</v>
      </c>
      <c r="L265" s="95">
        <v>2025</v>
      </c>
      <c r="M265" s="96">
        <v>0.0065</v>
      </c>
      <c r="N265" s="100">
        <v>41018</v>
      </c>
      <c r="O265" s="100">
        <v>41018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223000</v>
      </c>
      <c r="E266" s="99">
        <v>0</v>
      </c>
      <c r="F266" s="99"/>
      <c r="G266" s="99">
        <v>5</v>
      </c>
      <c r="H266" s="99" t="s">
        <v>102</v>
      </c>
      <c r="I266" s="99"/>
      <c r="J266" s="99" t="s">
        <v>103</v>
      </c>
      <c r="K266" s="99" t="b">
        <v>1</v>
      </c>
      <c r="L266" s="95">
        <v>2024</v>
      </c>
      <c r="M266" s="96">
        <v>1160000</v>
      </c>
      <c r="N266" s="100">
        <v>41018</v>
      </c>
      <c r="O266" s="100">
        <v>41018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223000</v>
      </c>
      <c r="E267" s="99">
        <v>0</v>
      </c>
      <c r="F267" s="99"/>
      <c r="G267" s="99">
        <v>48</v>
      </c>
      <c r="H267" s="99">
        <v>22</v>
      </c>
      <c r="I267" s="99" t="s">
        <v>219</v>
      </c>
      <c r="J267" s="99" t="s">
        <v>79</v>
      </c>
      <c r="K267" s="99" t="b">
        <v>0</v>
      </c>
      <c r="L267" s="95">
        <v>2021</v>
      </c>
      <c r="M267" s="96">
        <v>0.0368</v>
      </c>
      <c r="N267" s="100">
        <v>41018</v>
      </c>
      <c r="O267" s="100">
        <v>41018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223000</v>
      </c>
      <c r="E268" s="99">
        <v>0</v>
      </c>
      <c r="F268" s="99"/>
      <c r="G268" s="99">
        <v>1</v>
      </c>
      <c r="H268" s="99">
        <v>1</v>
      </c>
      <c r="I268" s="99" t="s">
        <v>206</v>
      </c>
      <c r="J268" s="99" t="s">
        <v>95</v>
      </c>
      <c r="K268" s="99" t="b">
        <v>1</v>
      </c>
      <c r="L268" s="95">
        <v>2019</v>
      </c>
      <c r="M268" s="96">
        <v>79840975</v>
      </c>
      <c r="N268" s="100">
        <v>41018</v>
      </c>
      <c r="O268" s="100">
        <v>41018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223000</v>
      </c>
      <c r="E269" s="99">
        <v>0</v>
      </c>
      <c r="F269" s="99"/>
      <c r="G269" s="99">
        <v>44</v>
      </c>
      <c r="H269" s="99">
        <v>20</v>
      </c>
      <c r="I269" s="99" t="s">
        <v>202</v>
      </c>
      <c r="J269" s="99" t="s">
        <v>147</v>
      </c>
      <c r="K269" s="99" t="b">
        <v>1</v>
      </c>
      <c r="L269" s="95">
        <v>2023</v>
      </c>
      <c r="M269" s="96">
        <v>0.0338</v>
      </c>
      <c r="N269" s="100">
        <v>41018</v>
      </c>
      <c r="O269" s="100">
        <v>41018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223000</v>
      </c>
      <c r="E270" s="99">
        <v>0</v>
      </c>
      <c r="F270" s="99"/>
      <c r="G270" s="99">
        <v>41</v>
      </c>
      <c r="H270" s="99" t="s">
        <v>145</v>
      </c>
      <c r="I270" s="99" t="s">
        <v>212</v>
      </c>
      <c r="J270" s="99" t="s">
        <v>73</v>
      </c>
      <c r="K270" s="99" t="b">
        <v>0</v>
      </c>
      <c r="L270" s="95">
        <v>2017</v>
      </c>
      <c r="M270" s="96">
        <v>0.2227</v>
      </c>
      <c r="N270" s="100">
        <v>41018</v>
      </c>
      <c r="O270" s="100">
        <v>41018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223000</v>
      </c>
      <c r="E271" s="99">
        <v>0</v>
      </c>
      <c r="F271" s="99"/>
      <c r="G271" s="99">
        <v>53</v>
      </c>
      <c r="H271" s="99">
        <v>26</v>
      </c>
      <c r="I271" s="99" t="s">
        <v>220</v>
      </c>
      <c r="J271" s="99" t="s">
        <v>153</v>
      </c>
      <c r="K271" s="99" t="b">
        <v>1</v>
      </c>
      <c r="L271" s="95">
        <v>2026</v>
      </c>
      <c r="M271" s="96">
        <v>86160000</v>
      </c>
      <c r="N271" s="100">
        <v>41018</v>
      </c>
      <c r="O271" s="100">
        <v>41018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223000</v>
      </c>
      <c r="E272" s="99">
        <v>0</v>
      </c>
      <c r="F272" s="99"/>
      <c r="G272" s="99">
        <v>48</v>
      </c>
      <c r="H272" s="99">
        <v>22</v>
      </c>
      <c r="I272" s="99" t="s">
        <v>219</v>
      </c>
      <c r="J272" s="99" t="s">
        <v>79</v>
      </c>
      <c r="K272" s="99" t="b">
        <v>0</v>
      </c>
      <c r="L272" s="95">
        <v>2016</v>
      </c>
      <c r="M272" s="96">
        <v>0.0479</v>
      </c>
      <c r="N272" s="100">
        <v>41018</v>
      </c>
      <c r="O272" s="100">
        <v>41018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223000</v>
      </c>
      <c r="E273" s="99">
        <v>0</v>
      </c>
      <c r="F273" s="99"/>
      <c r="G273" s="99">
        <v>2</v>
      </c>
      <c r="H273" s="99" t="s">
        <v>96</v>
      </c>
      <c r="I273" s="99"/>
      <c r="J273" s="99" t="s">
        <v>97</v>
      </c>
      <c r="K273" s="99" t="b">
        <v>1</v>
      </c>
      <c r="L273" s="95">
        <v>2026</v>
      </c>
      <c r="M273" s="96">
        <v>85000000</v>
      </c>
      <c r="N273" s="100">
        <v>41018</v>
      </c>
      <c r="O273" s="100">
        <v>41018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223000</v>
      </c>
      <c r="E274" s="99">
        <v>0</v>
      </c>
      <c r="F274" s="99"/>
      <c r="G274" s="99">
        <v>33</v>
      </c>
      <c r="H274" s="99">
        <v>13</v>
      </c>
      <c r="I274" s="99"/>
      <c r="J274" s="99" t="s">
        <v>68</v>
      </c>
      <c r="K274" s="99" t="b">
        <v>1</v>
      </c>
      <c r="L274" s="95">
        <v>2021</v>
      </c>
      <c r="M274" s="96">
        <v>7463396</v>
      </c>
      <c r="N274" s="100">
        <v>41018</v>
      </c>
      <c r="O274" s="100">
        <v>41018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223000</v>
      </c>
      <c r="E275" s="99">
        <v>0</v>
      </c>
      <c r="F275" s="99"/>
      <c r="G275" s="99">
        <v>41</v>
      </c>
      <c r="H275" s="99" t="s">
        <v>145</v>
      </c>
      <c r="I275" s="99" t="s">
        <v>212</v>
      </c>
      <c r="J275" s="99" t="s">
        <v>73</v>
      </c>
      <c r="K275" s="99" t="b">
        <v>0</v>
      </c>
      <c r="L275" s="95">
        <v>2015</v>
      </c>
      <c r="M275" s="96">
        <v>0.2772</v>
      </c>
      <c r="N275" s="100">
        <v>41018</v>
      </c>
      <c r="O275" s="100">
        <v>41018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223000</v>
      </c>
      <c r="E276" s="99">
        <v>0</v>
      </c>
      <c r="F276" s="99"/>
      <c r="G276" s="99">
        <v>44</v>
      </c>
      <c r="H276" s="99">
        <v>20</v>
      </c>
      <c r="I276" s="99" t="s">
        <v>202</v>
      </c>
      <c r="J276" s="99" t="s">
        <v>147</v>
      </c>
      <c r="K276" s="99" t="b">
        <v>1</v>
      </c>
      <c r="L276" s="95">
        <v>2021</v>
      </c>
      <c r="M276" s="96">
        <v>0.0387</v>
      </c>
      <c r="N276" s="100">
        <v>41018</v>
      </c>
      <c r="O276" s="100">
        <v>41018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223000</v>
      </c>
      <c r="E277" s="99">
        <v>0</v>
      </c>
      <c r="F277" s="99"/>
      <c r="G277" s="99">
        <v>48</v>
      </c>
      <c r="H277" s="99">
        <v>22</v>
      </c>
      <c r="I277" s="99" t="s">
        <v>219</v>
      </c>
      <c r="J277" s="99" t="s">
        <v>79</v>
      </c>
      <c r="K277" s="99" t="b">
        <v>0</v>
      </c>
      <c r="L277" s="95">
        <v>2023</v>
      </c>
      <c r="M277" s="96">
        <v>0.0287</v>
      </c>
      <c r="N277" s="100">
        <v>41018</v>
      </c>
      <c r="O277" s="100">
        <v>41018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223000</v>
      </c>
      <c r="E278" s="99">
        <v>0</v>
      </c>
      <c r="F278" s="99"/>
      <c r="G278" s="99">
        <v>40</v>
      </c>
      <c r="H278" s="99">
        <v>18</v>
      </c>
      <c r="I278" s="99" t="s">
        <v>214</v>
      </c>
      <c r="J278" s="99" t="s">
        <v>71</v>
      </c>
      <c r="K278" s="99" t="b">
        <v>0</v>
      </c>
      <c r="L278" s="95">
        <v>2018</v>
      </c>
      <c r="M278" s="96">
        <v>0.1886</v>
      </c>
      <c r="N278" s="100">
        <v>41018</v>
      </c>
      <c r="O278" s="100">
        <v>41018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223000</v>
      </c>
      <c r="E279" s="99">
        <v>0</v>
      </c>
      <c r="F279" s="99"/>
      <c r="G279" s="99">
        <v>27</v>
      </c>
      <c r="H279" s="99">
        <v>10</v>
      </c>
      <c r="I279" s="99"/>
      <c r="J279" s="99" t="s">
        <v>18</v>
      </c>
      <c r="K279" s="99" t="b">
        <v>0</v>
      </c>
      <c r="L279" s="95">
        <v>2020</v>
      </c>
      <c r="M279" s="96">
        <v>660000</v>
      </c>
      <c r="N279" s="100">
        <v>41018</v>
      </c>
      <c r="O279" s="100">
        <v>41018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223000</v>
      </c>
      <c r="E280" s="99">
        <v>0</v>
      </c>
      <c r="F280" s="99"/>
      <c r="G280" s="99">
        <v>5</v>
      </c>
      <c r="H280" s="99" t="s">
        <v>102</v>
      </c>
      <c r="I280" s="99"/>
      <c r="J280" s="99" t="s">
        <v>103</v>
      </c>
      <c r="K280" s="99" t="b">
        <v>1</v>
      </c>
      <c r="L280" s="95">
        <v>2025</v>
      </c>
      <c r="M280" s="96">
        <v>1160000</v>
      </c>
      <c r="N280" s="100">
        <v>41018</v>
      </c>
      <c r="O280" s="100">
        <v>41018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223000</v>
      </c>
      <c r="E281" s="99">
        <v>0</v>
      </c>
      <c r="F281" s="99"/>
      <c r="G281" s="99">
        <v>46</v>
      </c>
      <c r="H281" s="99">
        <v>21</v>
      </c>
      <c r="I281" s="99" t="s">
        <v>213</v>
      </c>
      <c r="J281" s="99" t="s">
        <v>54</v>
      </c>
      <c r="K281" s="99" t="b">
        <v>1</v>
      </c>
      <c r="L281" s="95">
        <v>2019</v>
      </c>
      <c r="M281" s="96">
        <v>0.0412</v>
      </c>
      <c r="N281" s="100">
        <v>41018</v>
      </c>
      <c r="O281" s="100">
        <v>41018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223000</v>
      </c>
      <c r="E282" s="99">
        <v>0</v>
      </c>
      <c r="F282" s="99"/>
      <c r="G282" s="99">
        <v>20</v>
      </c>
      <c r="H282" s="99">
        <v>7</v>
      </c>
      <c r="I282" s="99" t="s">
        <v>205</v>
      </c>
      <c r="J282" s="99" t="s">
        <v>12</v>
      </c>
      <c r="K282" s="99" t="b">
        <v>1</v>
      </c>
      <c r="L282" s="95">
        <v>2019</v>
      </c>
      <c r="M282" s="96">
        <v>3288447</v>
      </c>
      <c r="N282" s="100">
        <v>41018</v>
      </c>
      <c r="O282" s="100">
        <v>41018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223000</v>
      </c>
      <c r="E283" s="99">
        <v>0</v>
      </c>
      <c r="F283" s="99"/>
      <c r="G283" s="99">
        <v>8</v>
      </c>
      <c r="H283" s="99" t="s">
        <v>106</v>
      </c>
      <c r="I283" s="99"/>
      <c r="J283" s="99" t="s">
        <v>107</v>
      </c>
      <c r="K283" s="99" t="b">
        <v>0</v>
      </c>
      <c r="L283" s="95">
        <v>2013</v>
      </c>
      <c r="M283" s="96">
        <v>28900000</v>
      </c>
      <c r="N283" s="100">
        <v>41018</v>
      </c>
      <c r="O283" s="100">
        <v>41018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223000</v>
      </c>
      <c r="E284" s="99">
        <v>0</v>
      </c>
      <c r="F284" s="99"/>
      <c r="G284" s="99">
        <v>52</v>
      </c>
      <c r="H284" s="99">
        <v>25</v>
      </c>
      <c r="I284" s="99" t="s">
        <v>216</v>
      </c>
      <c r="J284" s="99" t="s">
        <v>49</v>
      </c>
      <c r="K284" s="99" t="b">
        <v>1</v>
      </c>
      <c r="L284" s="95">
        <v>2021</v>
      </c>
      <c r="M284" s="96">
        <v>2001731</v>
      </c>
      <c r="N284" s="100">
        <v>41018</v>
      </c>
      <c r="O284" s="100">
        <v>41018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223000</v>
      </c>
      <c r="E285" s="99">
        <v>0</v>
      </c>
      <c r="F285" s="99"/>
      <c r="G285" s="99">
        <v>51</v>
      </c>
      <c r="H285" s="99">
        <v>24</v>
      </c>
      <c r="I285" s="99" t="s">
        <v>203</v>
      </c>
      <c r="J285" s="99" t="s">
        <v>152</v>
      </c>
      <c r="K285" s="99" t="b">
        <v>1</v>
      </c>
      <c r="L285" s="95">
        <v>2023</v>
      </c>
      <c r="M285" s="96">
        <v>80465063</v>
      </c>
      <c r="N285" s="100">
        <v>41018</v>
      </c>
      <c r="O285" s="100">
        <v>41018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223000</v>
      </c>
      <c r="E286" s="99">
        <v>0</v>
      </c>
      <c r="F286" s="99"/>
      <c r="G286" s="99">
        <v>51</v>
      </c>
      <c r="H286" s="99">
        <v>24</v>
      </c>
      <c r="I286" s="99" t="s">
        <v>203</v>
      </c>
      <c r="J286" s="99" t="s">
        <v>152</v>
      </c>
      <c r="K286" s="99" t="b">
        <v>1</v>
      </c>
      <c r="L286" s="95">
        <v>2017</v>
      </c>
      <c r="M286" s="96">
        <v>74793580</v>
      </c>
      <c r="N286" s="100">
        <v>41018</v>
      </c>
      <c r="O286" s="100">
        <v>41018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223000</v>
      </c>
      <c r="E287" s="99">
        <v>0</v>
      </c>
      <c r="F287" s="99"/>
      <c r="G287" s="99">
        <v>24</v>
      </c>
      <c r="H287" s="99" t="s">
        <v>130</v>
      </c>
      <c r="I287" s="99"/>
      <c r="J287" s="99" t="s">
        <v>131</v>
      </c>
      <c r="K287" s="99" t="b">
        <v>1</v>
      </c>
      <c r="L287" s="95">
        <v>2013</v>
      </c>
      <c r="M287" s="96">
        <v>1755244</v>
      </c>
      <c r="N287" s="100">
        <v>41018</v>
      </c>
      <c r="O287" s="100">
        <v>41018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223000</v>
      </c>
      <c r="E288" s="99">
        <v>0</v>
      </c>
      <c r="F288" s="99"/>
      <c r="G288" s="99">
        <v>41</v>
      </c>
      <c r="H288" s="99" t="s">
        <v>145</v>
      </c>
      <c r="I288" s="99" t="s">
        <v>212</v>
      </c>
      <c r="J288" s="99" t="s">
        <v>73</v>
      </c>
      <c r="K288" s="99" t="b">
        <v>0</v>
      </c>
      <c r="L288" s="95">
        <v>2016</v>
      </c>
      <c r="M288" s="96">
        <v>0.2576</v>
      </c>
      <c r="N288" s="100">
        <v>41018</v>
      </c>
      <c r="O288" s="100">
        <v>41018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223000</v>
      </c>
      <c r="E289" s="99">
        <v>0</v>
      </c>
      <c r="F289" s="99"/>
      <c r="G289" s="99">
        <v>23</v>
      </c>
      <c r="H289" s="99" t="s">
        <v>128</v>
      </c>
      <c r="I289" s="99"/>
      <c r="J289" s="99" t="s">
        <v>129</v>
      </c>
      <c r="K289" s="99" t="b">
        <v>1</v>
      </c>
      <c r="L289" s="95">
        <v>2015</v>
      </c>
      <c r="M289" s="96">
        <v>1350501</v>
      </c>
      <c r="N289" s="100">
        <v>41018</v>
      </c>
      <c r="O289" s="100">
        <v>41018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223000</v>
      </c>
      <c r="E290" s="99">
        <v>0</v>
      </c>
      <c r="F290" s="99"/>
      <c r="G290" s="99">
        <v>55</v>
      </c>
      <c r="H290" s="99">
        <v>28</v>
      </c>
      <c r="I290" s="99" t="s">
        <v>218</v>
      </c>
      <c r="J290" s="99" t="s">
        <v>48</v>
      </c>
      <c r="K290" s="99" t="b">
        <v>0</v>
      </c>
      <c r="L290" s="95">
        <v>2021</v>
      </c>
      <c r="M290" s="96">
        <v>2501731</v>
      </c>
      <c r="N290" s="100">
        <v>41018</v>
      </c>
      <c r="O290" s="100">
        <v>41018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223000</v>
      </c>
      <c r="E291" s="99">
        <v>0</v>
      </c>
      <c r="F291" s="99"/>
      <c r="G291" s="99">
        <v>26</v>
      </c>
      <c r="H291" s="99">
        <v>9</v>
      </c>
      <c r="I291" s="99" t="s">
        <v>221</v>
      </c>
      <c r="J291" s="99" t="s">
        <v>133</v>
      </c>
      <c r="K291" s="99" t="b">
        <v>0</v>
      </c>
      <c r="L291" s="95">
        <v>2026</v>
      </c>
      <c r="M291" s="96">
        <v>660000</v>
      </c>
      <c r="N291" s="100">
        <v>41018</v>
      </c>
      <c r="O291" s="100">
        <v>41018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223000</v>
      </c>
      <c r="E292" s="99">
        <v>0</v>
      </c>
      <c r="F292" s="99"/>
      <c r="G292" s="99">
        <v>29</v>
      </c>
      <c r="H292" s="99" t="s">
        <v>136</v>
      </c>
      <c r="I292" s="99"/>
      <c r="J292" s="99" t="s">
        <v>117</v>
      </c>
      <c r="K292" s="99" t="b">
        <v>0</v>
      </c>
      <c r="L292" s="95">
        <v>2012</v>
      </c>
      <c r="M292" s="96">
        <v>443556</v>
      </c>
      <c r="N292" s="100">
        <v>41018</v>
      </c>
      <c r="O292" s="100">
        <v>41018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223000</v>
      </c>
      <c r="E293" s="99">
        <v>0</v>
      </c>
      <c r="F293" s="99"/>
      <c r="G293" s="99">
        <v>46</v>
      </c>
      <c r="H293" s="99">
        <v>21</v>
      </c>
      <c r="I293" s="99" t="s">
        <v>213</v>
      </c>
      <c r="J293" s="99" t="s">
        <v>54</v>
      </c>
      <c r="K293" s="99" t="b">
        <v>1</v>
      </c>
      <c r="L293" s="95">
        <v>2024</v>
      </c>
      <c r="M293" s="96">
        <v>0.0272</v>
      </c>
      <c r="N293" s="100">
        <v>41018</v>
      </c>
      <c r="O293" s="100">
        <v>41018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223000</v>
      </c>
      <c r="E294" s="99">
        <v>0</v>
      </c>
      <c r="F294" s="99"/>
      <c r="G294" s="99">
        <v>26</v>
      </c>
      <c r="H294" s="99">
        <v>9</v>
      </c>
      <c r="I294" s="99" t="s">
        <v>221</v>
      </c>
      <c r="J294" s="99" t="s">
        <v>133</v>
      </c>
      <c r="K294" s="99" t="b">
        <v>0</v>
      </c>
      <c r="L294" s="95">
        <v>2024</v>
      </c>
      <c r="M294" s="96">
        <v>660000</v>
      </c>
      <c r="N294" s="100">
        <v>41018</v>
      </c>
      <c r="O294" s="100">
        <v>41018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223000</v>
      </c>
      <c r="E295" s="99">
        <v>0</v>
      </c>
      <c r="F295" s="99"/>
      <c r="G295" s="99">
        <v>48</v>
      </c>
      <c r="H295" s="99">
        <v>22</v>
      </c>
      <c r="I295" s="99" t="s">
        <v>219</v>
      </c>
      <c r="J295" s="99" t="s">
        <v>79</v>
      </c>
      <c r="K295" s="99" t="b">
        <v>0</v>
      </c>
      <c r="L295" s="95">
        <v>2018</v>
      </c>
      <c r="M295" s="96">
        <v>0.0432</v>
      </c>
      <c r="N295" s="100">
        <v>41018</v>
      </c>
      <c r="O295" s="100">
        <v>41018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223000</v>
      </c>
      <c r="E296" s="99">
        <v>0</v>
      </c>
      <c r="F296" s="99"/>
      <c r="G296" s="99">
        <v>2</v>
      </c>
      <c r="H296" s="99" t="s">
        <v>96</v>
      </c>
      <c r="I296" s="99"/>
      <c r="J296" s="99" t="s">
        <v>97</v>
      </c>
      <c r="K296" s="99" t="b">
        <v>1</v>
      </c>
      <c r="L296" s="95">
        <v>2025</v>
      </c>
      <c r="M296" s="96">
        <v>84000000</v>
      </c>
      <c r="N296" s="100">
        <v>41018</v>
      </c>
      <c r="O296" s="100">
        <v>41018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223000</v>
      </c>
      <c r="E297" s="99">
        <v>0</v>
      </c>
      <c r="F297" s="99"/>
      <c r="G297" s="99">
        <v>54</v>
      </c>
      <c r="H297" s="99">
        <v>27</v>
      </c>
      <c r="I297" s="99" t="s">
        <v>200</v>
      </c>
      <c r="J297" s="99" t="s">
        <v>46</v>
      </c>
      <c r="K297" s="99" t="b">
        <v>0</v>
      </c>
      <c r="L297" s="95">
        <v>2015</v>
      </c>
      <c r="M297" s="96">
        <v>78573675</v>
      </c>
      <c r="N297" s="100">
        <v>41018</v>
      </c>
      <c r="O297" s="100">
        <v>41018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223000</v>
      </c>
      <c r="E298" s="99">
        <v>0</v>
      </c>
      <c r="F298" s="99"/>
      <c r="G298" s="99">
        <v>27</v>
      </c>
      <c r="H298" s="99">
        <v>10</v>
      </c>
      <c r="I298" s="99"/>
      <c r="J298" s="99" t="s">
        <v>18</v>
      </c>
      <c r="K298" s="99" t="b">
        <v>0</v>
      </c>
      <c r="L298" s="95">
        <v>2014</v>
      </c>
      <c r="M298" s="96">
        <v>15800000</v>
      </c>
      <c r="N298" s="100">
        <v>41018</v>
      </c>
      <c r="O298" s="100">
        <v>41018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223000</v>
      </c>
      <c r="E299" s="99">
        <v>0</v>
      </c>
      <c r="F299" s="99"/>
      <c r="G299" s="99">
        <v>8</v>
      </c>
      <c r="H299" s="99" t="s">
        <v>106</v>
      </c>
      <c r="I299" s="99"/>
      <c r="J299" s="99" t="s">
        <v>107</v>
      </c>
      <c r="K299" s="99" t="b">
        <v>0</v>
      </c>
      <c r="L299" s="95">
        <v>2021</v>
      </c>
      <c r="M299" s="96">
        <v>33600000</v>
      </c>
      <c r="N299" s="100">
        <v>41018</v>
      </c>
      <c r="O299" s="100">
        <v>41018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223000</v>
      </c>
      <c r="E300" s="99">
        <v>0</v>
      </c>
      <c r="F300" s="99"/>
      <c r="G300" s="99">
        <v>7</v>
      </c>
      <c r="H300" s="99">
        <v>2</v>
      </c>
      <c r="I300" s="99"/>
      <c r="J300" s="99" t="s">
        <v>3</v>
      </c>
      <c r="K300" s="99" t="b">
        <v>1</v>
      </c>
      <c r="L300" s="95">
        <v>2012</v>
      </c>
      <c r="M300" s="96">
        <v>73981925</v>
      </c>
      <c r="N300" s="100">
        <v>41018</v>
      </c>
      <c r="O300" s="100">
        <v>41018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223000</v>
      </c>
      <c r="E301" s="99">
        <v>0</v>
      </c>
      <c r="F301" s="99"/>
      <c r="G301" s="99">
        <v>55</v>
      </c>
      <c r="H301" s="99">
        <v>28</v>
      </c>
      <c r="I301" s="99" t="s">
        <v>218</v>
      </c>
      <c r="J301" s="99" t="s">
        <v>48</v>
      </c>
      <c r="K301" s="99" t="b">
        <v>0</v>
      </c>
      <c r="L301" s="95">
        <v>2018</v>
      </c>
      <c r="M301" s="96">
        <v>2501733</v>
      </c>
      <c r="N301" s="100">
        <v>41018</v>
      </c>
      <c r="O301" s="100">
        <v>41018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223000</v>
      </c>
      <c r="E302" s="99">
        <v>0</v>
      </c>
      <c r="F302" s="99"/>
      <c r="G302" s="99">
        <v>43</v>
      </c>
      <c r="H302" s="99" t="s">
        <v>146</v>
      </c>
      <c r="I302" s="99" t="s">
        <v>208</v>
      </c>
      <c r="J302" s="99" t="s">
        <v>76</v>
      </c>
      <c r="K302" s="99" t="b">
        <v>0</v>
      </c>
      <c r="L302" s="95">
        <v>2024</v>
      </c>
      <c r="M302" s="96">
        <v>0.0272</v>
      </c>
      <c r="N302" s="100">
        <v>41018</v>
      </c>
      <c r="O302" s="100">
        <v>41018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223000</v>
      </c>
      <c r="E303" s="99">
        <v>0</v>
      </c>
      <c r="F303" s="99"/>
      <c r="G303" s="99">
        <v>53</v>
      </c>
      <c r="H303" s="99">
        <v>26</v>
      </c>
      <c r="I303" s="99" t="s">
        <v>220</v>
      </c>
      <c r="J303" s="99" t="s">
        <v>153</v>
      </c>
      <c r="K303" s="99" t="b">
        <v>1</v>
      </c>
      <c r="L303" s="95">
        <v>2014</v>
      </c>
      <c r="M303" s="96">
        <v>93189679</v>
      </c>
      <c r="N303" s="100">
        <v>41018</v>
      </c>
      <c r="O303" s="100">
        <v>41018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223000</v>
      </c>
      <c r="E304" s="99">
        <v>0</v>
      </c>
      <c r="F304" s="99"/>
      <c r="G304" s="99">
        <v>46</v>
      </c>
      <c r="H304" s="99">
        <v>21</v>
      </c>
      <c r="I304" s="99" t="s">
        <v>213</v>
      </c>
      <c r="J304" s="99" t="s">
        <v>54</v>
      </c>
      <c r="K304" s="99" t="b">
        <v>1</v>
      </c>
      <c r="L304" s="95">
        <v>2022</v>
      </c>
      <c r="M304" s="96">
        <v>0.0306</v>
      </c>
      <c r="N304" s="100">
        <v>41018</v>
      </c>
      <c r="O304" s="100">
        <v>41018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223000</v>
      </c>
      <c r="E305" s="99">
        <v>0</v>
      </c>
      <c r="F305" s="99"/>
      <c r="G305" s="99">
        <v>8</v>
      </c>
      <c r="H305" s="99" t="s">
        <v>106</v>
      </c>
      <c r="I305" s="99"/>
      <c r="J305" s="99" t="s">
        <v>107</v>
      </c>
      <c r="K305" s="99" t="b">
        <v>0</v>
      </c>
      <c r="L305" s="95">
        <v>2024</v>
      </c>
      <c r="M305" s="96">
        <v>35400000</v>
      </c>
      <c r="N305" s="100">
        <v>41018</v>
      </c>
      <c r="O305" s="100">
        <v>41018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223000</v>
      </c>
      <c r="E306" s="99">
        <v>0</v>
      </c>
      <c r="F306" s="99"/>
      <c r="G306" s="99">
        <v>53</v>
      </c>
      <c r="H306" s="99">
        <v>26</v>
      </c>
      <c r="I306" s="99" t="s">
        <v>220</v>
      </c>
      <c r="J306" s="99" t="s">
        <v>153</v>
      </c>
      <c r="K306" s="99" t="b">
        <v>1</v>
      </c>
      <c r="L306" s="95">
        <v>2012</v>
      </c>
      <c r="M306" s="96">
        <v>88681084</v>
      </c>
      <c r="N306" s="100">
        <v>41018</v>
      </c>
      <c r="O306" s="100">
        <v>41018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223000</v>
      </c>
      <c r="E307" s="99">
        <v>0</v>
      </c>
      <c r="F307" s="99"/>
      <c r="G307" s="99">
        <v>40</v>
      </c>
      <c r="H307" s="99">
        <v>18</v>
      </c>
      <c r="I307" s="99" t="s">
        <v>214</v>
      </c>
      <c r="J307" s="99" t="s">
        <v>71</v>
      </c>
      <c r="K307" s="99" t="b">
        <v>0</v>
      </c>
      <c r="L307" s="95">
        <v>2012</v>
      </c>
      <c r="M307" s="96">
        <v>0.4693</v>
      </c>
      <c r="N307" s="100">
        <v>41018</v>
      </c>
      <c r="O307" s="100">
        <v>41018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223000</v>
      </c>
      <c r="E308" s="99">
        <v>0</v>
      </c>
      <c r="F308" s="99"/>
      <c r="G308" s="99">
        <v>33</v>
      </c>
      <c r="H308" s="99">
        <v>13</v>
      </c>
      <c r="I308" s="99"/>
      <c r="J308" s="99" t="s">
        <v>68</v>
      </c>
      <c r="K308" s="99" t="b">
        <v>1</v>
      </c>
      <c r="L308" s="95">
        <v>2017</v>
      </c>
      <c r="M308" s="96">
        <v>17470326</v>
      </c>
      <c r="N308" s="100">
        <v>41018</v>
      </c>
      <c r="O308" s="100">
        <v>41018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223000</v>
      </c>
      <c r="E309" s="99">
        <v>0</v>
      </c>
      <c r="F309" s="99"/>
      <c r="G309" s="99">
        <v>2</v>
      </c>
      <c r="H309" s="99" t="s">
        <v>96</v>
      </c>
      <c r="I309" s="99"/>
      <c r="J309" s="99" t="s">
        <v>97</v>
      </c>
      <c r="K309" s="99" t="b">
        <v>1</v>
      </c>
      <c r="L309" s="95">
        <v>2021</v>
      </c>
      <c r="M309" s="96">
        <v>80561748</v>
      </c>
      <c r="N309" s="100">
        <v>41018</v>
      </c>
      <c r="O309" s="100">
        <v>41018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223000</v>
      </c>
      <c r="E310" s="99">
        <v>0</v>
      </c>
      <c r="F310" s="99"/>
      <c r="G310" s="99">
        <v>53</v>
      </c>
      <c r="H310" s="99">
        <v>26</v>
      </c>
      <c r="I310" s="99" t="s">
        <v>220</v>
      </c>
      <c r="J310" s="99" t="s">
        <v>153</v>
      </c>
      <c r="K310" s="99" t="b">
        <v>1</v>
      </c>
      <c r="L310" s="95">
        <v>2016</v>
      </c>
      <c r="M310" s="96">
        <v>77516470</v>
      </c>
      <c r="N310" s="100">
        <v>41018</v>
      </c>
      <c r="O310" s="100">
        <v>41018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223000</v>
      </c>
      <c r="E311" s="99">
        <v>0</v>
      </c>
      <c r="F311" s="99"/>
      <c r="G311" s="99">
        <v>42</v>
      </c>
      <c r="H311" s="99">
        <v>19</v>
      </c>
      <c r="I311" s="99" t="s">
        <v>207</v>
      </c>
      <c r="J311" s="99" t="s">
        <v>74</v>
      </c>
      <c r="K311" s="99" t="b">
        <v>1</v>
      </c>
      <c r="L311" s="95">
        <v>2013</v>
      </c>
      <c r="M311" s="96">
        <v>0.0673</v>
      </c>
      <c r="N311" s="100">
        <v>41018</v>
      </c>
      <c r="O311" s="100">
        <v>41018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223000</v>
      </c>
      <c r="E312" s="99">
        <v>0</v>
      </c>
      <c r="F312" s="99"/>
      <c r="G312" s="99">
        <v>19</v>
      </c>
      <c r="H312" s="99">
        <v>6</v>
      </c>
      <c r="I312" s="99" t="s">
        <v>211</v>
      </c>
      <c r="J312" s="99" t="s">
        <v>123</v>
      </c>
      <c r="K312" s="99" t="b">
        <v>0</v>
      </c>
      <c r="L312" s="95">
        <v>2015</v>
      </c>
      <c r="M312" s="96">
        <v>9512234</v>
      </c>
      <c r="N312" s="100">
        <v>41018</v>
      </c>
      <c r="O312" s="100">
        <v>41018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223000</v>
      </c>
      <c r="E313" s="99">
        <v>0</v>
      </c>
      <c r="F313" s="99"/>
      <c r="G313" s="99">
        <v>43</v>
      </c>
      <c r="H313" s="99" t="s">
        <v>146</v>
      </c>
      <c r="I313" s="99" t="s">
        <v>208</v>
      </c>
      <c r="J313" s="99" t="s">
        <v>76</v>
      </c>
      <c r="K313" s="99" t="b">
        <v>0</v>
      </c>
      <c r="L313" s="95">
        <v>2021</v>
      </c>
      <c r="M313" s="96">
        <v>0.0368</v>
      </c>
      <c r="N313" s="100">
        <v>41018</v>
      </c>
      <c r="O313" s="100">
        <v>41018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223000</v>
      </c>
      <c r="E314" s="99">
        <v>0</v>
      </c>
      <c r="F314" s="99"/>
      <c r="G314" s="99">
        <v>46</v>
      </c>
      <c r="H314" s="99">
        <v>21</v>
      </c>
      <c r="I314" s="99" t="s">
        <v>213</v>
      </c>
      <c r="J314" s="99" t="s">
        <v>54</v>
      </c>
      <c r="K314" s="99" t="b">
        <v>1</v>
      </c>
      <c r="L314" s="95">
        <v>2013</v>
      </c>
      <c r="M314" s="96">
        <v>0.0673</v>
      </c>
      <c r="N314" s="100">
        <v>41018</v>
      </c>
      <c r="O314" s="100">
        <v>41018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223000</v>
      </c>
      <c r="E315" s="99">
        <v>0</v>
      </c>
      <c r="F315" s="99"/>
      <c r="G315" s="99">
        <v>9</v>
      </c>
      <c r="H315" s="99" t="s">
        <v>108</v>
      </c>
      <c r="I315" s="99"/>
      <c r="J315" s="99" t="s">
        <v>109</v>
      </c>
      <c r="K315" s="99" t="b">
        <v>0</v>
      </c>
      <c r="L315" s="95">
        <v>2016</v>
      </c>
      <c r="M315" s="96">
        <v>12000000</v>
      </c>
      <c r="N315" s="100">
        <v>41018</v>
      </c>
      <c r="O315" s="100">
        <v>41018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223000</v>
      </c>
      <c r="E316" s="99">
        <v>0</v>
      </c>
      <c r="F316" s="99"/>
      <c r="G316" s="99">
        <v>1</v>
      </c>
      <c r="H316" s="99">
        <v>1</v>
      </c>
      <c r="I316" s="99" t="s">
        <v>206</v>
      </c>
      <c r="J316" s="99" t="s">
        <v>95</v>
      </c>
      <c r="K316" s="99" t="b">
        <v>1</v>
      </c>
      <c r="L316" s="95">
        <v>2021</v>
      </c>
      <c r="M316" s="96">
        <v>81721748</v>
      </c>
      <c r="N316" s="100">
        <v>41018</v>
      </c>
      <c r="O316" s="100">
        <v>41018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223000</v>
      </c>
      <c r="E317" s="99">
        <v>0</v>
      </c>
      <c r="F317" s="99"/>
      <c r="G317" s="99">
        <v>23</v>
      </c>
      <c r="H317" s="99" t="s">
        <v>128</v>
      </c>
      <c r="I317" s="99"/>
      <c r="J317" s="99" t="s">
        <v>129</v>
      </c>
      <c r="K317" s="99" t="b">
        <v>1</v>
      </c>
      <c r="L317" s="95">
        <v>2022</v>
      </c>
      <c r="M317" s="96">
        <v>361651</v>
      </c>
      <c r="N317" s="100">
        <v>41018</v>
      </c>
      <c r="O317" s="100">
        <v>41018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223000</v>
      </c>
      <c r="E318" s="99">
        <v>0</v>
      </c>
      <c r="F318" s="99"/>
      <c r="G318" s="99">
        <v>21</v>
      </c>
      <c r="H318" s="99" t="s">
        <v>124</v>
      </c>
      <c r="I318" s="99"/>
      <c r="J318" s="99" t="s">
        <v>125</v>
      </c>
      <c r="K318" s="99" t="b">
        <v>1</v>
      </c>
      <c r="L318" s="95">
        <v>2024</v>
      </c>
      <c r="M318" s="96">
        <v>2154460</v>
      </c>
      <c r="N318" s="100">
        <v>41018</v>
      </c>
      <c r="O318" s="100">
        <v>41018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223000</v>
      </c>
      <c r="E319" s="99">
        <v>0</v>
      </c>
      <c r="F319" s="99"/>
      <c r="G319" s="99">
        <v>4</v>
      </c>
      <c r="H319" s="99" t="s">
        <v>100</v>
      </c>
      <c r="I319" s="99"/>
      <c r="J319" s="99" t="s">
        <v>101</v>
      </c>
      <c r="K319" s="99" t="b">
        <v>1</v>
      </c>
      <c r="L319" s="95">
        <v>2020</v>
      </c>
      <c r="M319" s="96">
        <v>1160000</v>
      </c>
      <c r="N319" s="100">
        <v>41018</v>
      </c>
      <c r="O319" s="100">
        <v>41018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223000</v>
      </c>
      <c r="E320" s="99">
        <v>0</v>
      </c>
      <c r="F320" s="99"/>
      <c r="G320" s="99">
        <v>7</v>
      </c>
      <c r="H320" s="99">
        <v>2</v>
      </c>
      <c r="I320" s="99"/>
      <c r="J320" s="99" t="s">
        <v>3</v>
      </c>
      <c r="K320" s="99" t="b">
        <v>1</v>
      </c>
      <c r="L320" s="95">
        <v>2025</v>
      </c>
      <c r="M320" s="96">
        <v>83947969</v>
      </c>
      <c r="N320" s="100">
        <v>41018</v>
      </c>
      <c r="O320" s="100">
        <v>41018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223000</v>
      </c>
      <c r="E321" s="99">
        <v>0</v>
      </c>
      <c r="F321" s="99"/>
      <c r="G321" s="99">
        <v>26</v>
      </c>
      <c r="H321" s="99">
        <v>9</v>
      </c>
      <c r="I321" s="99" t="s">
        <v>221</v>
      </c>
      <c r="J321" s="99" t="s">
        <v>133</v>
      </c>
      <c r="K321" s="99" t="b">
        <v>0</v>
      </c>
      <c r="L321" s="95">
        <v>2023</v>
      </c>
      <c r="M321" s="96">
        <v>660000</v>
      </c>
      <c r="N321" s="100">
        <v>41018</v>
      </c>
      <c r="O321" s="100">
        <v>41018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223000</v>
      </c>
      <c r="E322" s="99">
        <v>0</v>
      </c>
      <c r="F322" s="99"/>
      <c r="G322" s="99">
        <v>33</v>
      </c>
      <c r="H322" s="99">
        <v>13</v>
      </c>
      <c r="I322" s="99"/>
      <c r="J322" s="99" t="s">
        <v>68</v>
      </c>
      <c r="K322" s="99" t="b">
        <v>1</v>
      </c>
      <c r="L322" s="95">
        <v>2023</v>
      </c>
      <c r="M322" s="96">
        <v>3154460</v>
      </c>
      <c r="N322" s="100">
        <v>41018</v>
      </c>
      <c r="O322" s="100">
        <v>41018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223000</v>
      </c>
      <c r="E323" s="99">
        <v>0</v>
      </c>
      <c r="F323" s="99"/>
      <c r="G323" s="99">
        <v>8</v>
      </c>
      <c r="H323" s="99" t="s">
        <v>106</v>
      </c>
      <c r="I323" s="99"/>
      <c r="J323" s="99" t="s">
        <v>107</v>
      </c>
      <c r="K323" s="99" t="b">
        <v>0</v>
      </c>
      <c r="L323" s="95">
        <v>2022</v>
      </c>
      <c r="M323" s="96">
        <v>34200000</v>
      </c>
      <c r="N323" s="100">
        <v>41018</v>
      </c>
      <c r="O323" s="100">
        <v>41018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223000</v>
      </c>
      <c r="E324" s="99">
        <v>0</v>
      </c>
      <c r="F324" s="99"/>
      <c r="G324" s="99">
        <v>49</v>
      </c>
      <c r="H324" s="99" t="s">
        <v>150</v>
      </c>
      <c r="I324" s="99" t="s">
        <v>204</v>
      </c>
      <c r="J324" s="99" t="s">
        <v>81</v>
      </c>
      <c r="K324" s="99" t="b">
        <v>0</v>
      </c>
      <c r="L324" s="95">
        <v>2015</v>
      </c>
      <c r="M324" s="96">
        <v>1334</v>
      </c>
      <c r="N324" s="100">
        <v>41018</v>
      </c>
      <c r="O324" s="100">
        <v>41018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223000</v>
      </c>
      <c r="E325" s="99">
        <v>0</v>
      </c>
      <c r="F325" s="99"/>
      <c r="G325" s="99">
        <v>4</v>
      </c>
      <c r="H325" s="99" t="s">
        <v>100</v>
      </c>
      <c r="I325" s="99"/>
      <c r="J325" s="99" t="s">
        <v>101</v>
      </c>
      <c r="K325" s="99" t="b">
        <v>1</v>
      </c>
      <c r="L325" s="95">
        <v>2018</v>
      </c>
      <c r="M325" s="96">
        <v>1660000</v>
      </c>
      <c r="N325" s="100">
        <v>41018</v>
      </c>
      <c r="O325" s="100">
        <v>41018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223000</v>
      </c>
      <c r="E326" s="99">
        <v>0</v>
      </c>
      <c r="F326" s="99"/>
      <c r="G326" s="99">
        <v>20</v>
      </c>
      <c r="H326" s="99">
        <v>7</v>
      </c>
      <c r="I326" s="99" t="s">
        <v>205</v>
      </c>
      <c r="J326" s="99" t="s">
        <v>12</v>
      </c>
      <c r="K326" s="99" t="b">
        <v>1</v>
      </c>
      <c r="L326" s="95">
        <v>2025</v>
      </c>
      <c r="M326" s="96">
        <v>552031</v>
      </c>
      <c r="N326" s="100">
        <v>41018</v>
      </c>
      <c r="O326" s="100">
        <v>41018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223000</v>
      </c>
      <c r="E327" s="99">
        <v>0</v>
      </c>
      <c r="F327" s="99"/>
      <c r="G327" s="99">
        <v>47</v>
      </c>
      <c r="H327" s="99" t="s">
        <v>149</v>
      </c>
      <c r="I327" s="99" t="s">
        <v>209</v>
      </c>
      <c r="J327" s="99" t="s">
        <v>78</v>
      </c>
      <c r="K327" s="99" t="b">
        <v>0</v>
      </c>
      <c r="L327" s="95">
        <v>2012</v>
      </c>
      <c r="M327" s="96">
        <v>283</v>
      </c>
      <c r="N327" s="100">
        <v>41018</v>
      </c>
      <c r="O327" s="100">
        <v>41018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223000</v>
      </c>
      <c r="E328" s="99">
        <v>0</v>
      </c>
      <c r="F328" s="99"/>
      <c r="G328" s="99">
        <v>49</v>
      </c>
      <c r="H328" s="99" t="s">
        <v>150</v>
      </c>
      <c r="I328" s="99" t="s">
        <v>204</v>
      </c>
      <c r="J328" s="99" t="s">
        <v>81</v>
      </c>
      <c r="K328" s="99" t="b">
        <v>0</v>
      </c>
      <c r="L328" s="95">
        <v>2019</v>
      </c>
      <c r="M328" s="96">
        <v>55</v>
      </c>
      <c r="N328" s="100">
        <v>41018</v>
      </c>
      <c r="O328" s="100">
        <v>41018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223000</v>
      </c>
      <c r="E329" s="99">
        <v>0</v>
      </c>
      <c r="F329" s="99"/>
      <c r="G329" s="99">
        <v>24</v>
      </c>
      <c r="H329" s="99" t="s">
        <v>130</v>
      </c>
      <c r="I329" s="99"/>
      <c r="J329" s="99" t="s">
        <v>131</v>
      </c>
      <c r="K329" s="99" t="b">
        <v>1</v>
      </c>
      <c r="L329" s="95">
        <v>2021</v>
      </c>
      <c r="M329" s="96">
        <v>504813</v>
      </c>
      <c r="N329" s="100">
        <v>41018</v>
      </c>
      <c r="O329" s="100">
        <v>41018</v>
      </c>
    </row>
    <row r="330" spans="1:15" ht="14.25">
      <c r="A330" s="97">
        <v>2012</v>
      </c>
      <c r="B330" s="98" t="s">
        <v>198</v>
      </c>
      <c r="C330" s="98" t="s">
        <v>199</v>
      </c>
      <c r="D330" s="99">
        <v>223000</v>
      </c>
      <c r="E330" s="99">
        <v>0</v>
      </c>
      <c r="F330" s="99"/>
      <c r="G330" s="99">
        <v>19</v>
      </c>
      <c r="H330" s="99">
        <v>6</v>
      </c>
      <c r="I330" s="99" t="s">
        <v>211</v>
      </c>
      <c r="J330" s="99" t="s">
        <v>123</v>
      </c>
      <c r="K330" s="99" t="b">
        <v>0</v>
      </c>
      <c r="L330" s="95">
        <v>2020</v>
      </c>
      <c r="M330" s="96">
        <v>3807591</v>
      </c>
      <c r="N330" s="100">
        <v>41018</v>
      </c>
      <c r="O330" s="100">
        <v>41018</v>
      </c>
    </row>
    <row r="331" spans="1:15" ht="14.25">
      <c r="A331" s="97">
        <v>2012</v>
      </c>
      <c r="B331" s="98" t="s">
        <v>198</v>
      </c>
      <c r="C331" s="98" t="s">
        <v>199</v>
      </c>
      <c r="D331" s="99">
        <v>223000</v>
      </c>
      <c r="E331" s="99">
        <v>0</v>
      </c>
      <c r="F331" s="99"/>
      <c r="G331" s="99">
        <v>9</v>
      </c>
      <c r="H331" s="99" t="s">
        <v>108</v>
      </c>
      <c r="I331" s="99"/>
      <c r="J331" s="99" t="s">
        <v>109</v>
      </c>
      <c r="K331" s="99" t="b">
        <v>0</v>
      </c>
      <c r="L331" s="95">
        <v>2013</v>
      </c>
      <c r="M331" s="96">
        <v>11200000</v>
      </c>
      <c r="N331" s="100">
        <v>41018</v>
      </c>
      <c r="O331" s="100">
        <v>41018</v>
      </c>
    </row>
    <row r="332" spans="1:15" ht="14.25">
      <c r="A332" s="97">
        <v>2012</v>
      </c>
      <c r="B332" s="98" t="s">
        <v>198</v>
      </c>
      <c r="C332" s="98" t="s">
        <v>199</v>
      </c>
      <c r="D332" s="99">
        <v>223000</v>
      </c>
      <c r="E332" s="99">
        <v>0</v>
      </c>
      <c r="F332" s="99"/>
      <c r="G332" s="99">
        <v>34</v>
      </c>
      <c r="H332" s="99" t="s">
        <v>139</v>
      </c>
      <c r="I332" s="99"/>
      <c r="J332" s="99" t="s">
        <v>140</v>
      </c>
      <c r="K332" s="99" t="b">
        <v>1</v>
      </c>
      <c r="L332" s="95">
        <v>2012</v>
      </c>
      <c r="M332" s="96">
        <v>8000000</v>
      </c>
      <c r="N332" s="100">
        <v>41018</v>
      </c>
      <c r="O332" s="100">
        <v>41018</v>
      </c>
    </row>
    <row r="333" spans="1:15" ht="14.25">
      <c r="A333" s="97">
        <v>2012</v>
      </c>
      <c r="B333" s="98" t="s">
        <v>198</v>
      </c>
      <c r="C333" s="98" t="s">
        <v>199</v>
      </c>
      <c r="D333" s="99">
        <v>223000</v>
      </c>
      <c r="E333" s="99">
        <v>0</v>
      </c>
      <c r="F333" s="99"/>
      <c r="G333" s="99">
        <v>8</v>
      </c>
      <c r="H333" s="99" t="s">
        <v>106</v>
      </c>
      <c r="I333" s="99"/>
      <c r="J333" s="99" t="s">
        <v>107</v>
      </c>
      <c r="K333" s="99" t="b">
        <v>0</v>
      </c>
      <c r="L333" s="95">
        <v>2020</v>
      </c>
      <c r="M333" s="96">
        <v>33000000</v>
      </c>
      <c r="N333" s="100">
        <v>41018</v>
      </c>
      <c r="O333" s="100">
        <v>41018</v>
      </c>
    </row>
    <row r="334" spans="1:15" ht="14.25">
      <c r="A334" s="97">
        <v>2012</v>
      </c>
      <c r="B334" s="98" t="s">
        <v>198</v>
      </c>
      <c r="C334" s="98" t="s">
        <v>199</v>
      </c>
      <c r="D334" s="99">
        <v>223000</v>
      </c>
      <c r="E334" s="99">
        <v>0</v>
      </c>
      <c r="F334" s="99"/>
      <c r="G334" s="99">
        <v>51</v>
      </c>
      <c r="H334" s="99">
        <v>24</v>
      </c>
      <c r="I334" s="99" t="s">
        <v>203</v>
      </c>
      <c r="J334" s="99" t="s">
        <v>152</v>
      </c>
      <c r="K334" s="99" t="b">
        <v>1</v>
      </c>
      <c r="L334" s="95">
        <v>2014</v>
      </c>
      <c r="M334" s="96">
        <v>73069757</v>
      </c>
      <c r="N334" s="100">
        <v>41018</v>
      </c>
      <c r="O334" s="100">
        <v>41018</v>
      </c>
    </row>
    <row r="335" spans="1:15" ht="14.25">
      <c r="A335" s="97">
        <v>2012</v>
      </c>
      <c r="B335" s="98" t="s">
        <v>198</v>
      </c>
      <c r="C335" s="98" t="s">
        <v>199</v>
      </c>
      <c r="D335" s="99">
        <v>223000</v>
      </c>
      <c r="E335" s="99">
        <v>0</v>
      </c>
      <c r="F335" s="99"/>
      <c r="G335" s="99">
        <v>33</v>
      </c>
      <c r="H335" s="99">
        <v>13</v>
      </c>
      <c r="I335" s="99"/>
      <c r="J335" s="99" t="s">
        <v>68</v>
      </c>
      <c r="K335" s="99" t="b">
        <v>1</v>
      </c>
      <c r="L335" s="95">
        <v>2019</v>
      </c>
      <c r="M335" s="96">
        <v>12466860</v>
      </c>
      <c r="N335" s="100">
        <v>41018</v>
      </c>
      <c r="O335" s="100">
        <v>41018</v>
      </c>
    </row>
    <row r="336" spans="1:15" ht="14.25">
      <c r="A336" s="97">
        <v>2012</v>
      </c>
      <c r="B336" s="98" t="s">
        <v>198</v>
      </c>
      <c r="C336" s="98" t="s">
        <v>199</v>
      </c>
      <c r="D336" s="99">
        <v>223000</v>
      </c>
      <c r="E336" s="99">
        <v>0</v>
      </c>
      <c r="F336" s="99"/>
      <c r="G336" s="99">
        <v>47</v>
      </c>
      <c r="H336" s="99" t="s">
        <v>149</v>
      </c>
      <c r="I336" s="99" t="s">
        <v>209</v>
      </c>
      <c r="J336" s="99" t="s">
        <v>78</v>
      </c>
      <c r="K336" s="99" t="b">
        <v>0</v>
      </c>
      <c r="L336" s="95">
        <v>2016</v>
      </c>
      <c r="M336" s="96">
        <v>1234</v>
      </c>
      <c r="N336" s="100">
        <v>41018</v>
      </c>
      <c r="O336" s="100">
        <v>41018</v>
      </c>
    </row>
    <row r="337" spans="1:15" ht="14.25">
      <c r="A337" s="97">
        <v>2012</v>
      </c>
      <c r="B337" s="98" t="s">
        <v>198</v>
      </c>
      <c r="C337" s="98" t="s">
        <v>199</v>
      </c>
      <c r="D337" s="99">
        <v>223000</v>
      </c>
      <c r="E337" s="99">
        <v>0</v>
      </c>
      <c r="F337" s="99"/>
      <c r="G337" s="99">
        <v>8</v>
      </c>
      <c r="H337" s="99" t="s">
        <v>106</v>
      </c>
      <c r="I337" s="99"/>
      <c r="J337" s="99" t="s">
        <v>107</v>
      </c>
      <c r="K337" s="99" t="b">
        <v>0</v>
      </c>
      <c r="L337" s="95">
        <v>2026</v>
      </c>
      <c r="M337" s="96">
        <v>36600000</v>
      </c>
      <c r="N337" s="100">
        <v>41018</v>
      </c>
      <c r="O337" s="100">
        <v>41018</v>
      </c>
    </row>
    <row r="338" spans="1:15" ht="14.25">
      <c r="A338" s="97">
        <v>2012</v>
      </c>
      <c r="B338" s="98" t="s">
        <v>198</v>
      </c>
      <c r="C338" s="98" t="s">
        <v>199</v>
      </c>
      <c r="D338" s="99">
        <v>223000</v>
      </c>
      <c r="E338" s="99">
        <v>0</v>
      </c>
      <c r="F338" s="99"/>
      <c r="G338" s="99">
        <v>51</v>
      </c>
      <c r="H338" s="99">
        <v>24</v>
      </c>
      <c r="I338" s="99" t="s">
        <v>203</v>
      </c>
      <c r="J338" s="99" t="s">
        <v>152</v>
      </c>
      <c r="K338" s="99" t="b">
        <v>1</v>
      </c>
      <c r="L338" s="95">
        <v>2018</v>
      </c>
      <c r="M338" s="96">
        <v>75687735</v>
      </c>
      <c r="N338" s="100">
        <v>41018</v>
      </c>
      <c r="O338" s="100">
        <v>41018</v>
      </c>
    </row>
    <row r="339" spans="1:15" ht="14.25">
      <c r="A339" s="97">
        <v>2012</v>
      </c>
      <c r="B339" s="98" t="s">
        <v>198</v>
      </c>
      <c r="C339" s="98" t="s">
        <v>199</v>
      </c>
      <c r="D339" s="99">
        <v>223000</v>
      </c>
      <c r="E339" s="99">
        <v>0</v>
      </c>
      <c r="F339" s="99"/>
      <c r="G339" s="99">
        <v>54</v>
      </c>
      <c r="H339" s="99">
        <v>27</v>
      </c>
      <c r="I339" s="99" t="s">
        <v>200</v>
      </c>
      <c r="J339" s="99" t="s">
        <v>46</v>
      </c>
      <c r="K339" s="99" t="b">
        <v>0</v>
      </c>
      <c r="L339" s="95">
        <v>2018</v>
      </c>
      <c r="M339" s="96">
        <v>76847735</v>
      </c>
      <c r="N339" s="100">
        <v>41018</v>
      </c>
      <c r="O339" s="100">
        <v>41018</v>
      </c>
    </row>
    <row r="340" spans="1:15" ht="14.25">
      <c r="A340" s="97">
        <v>2012</v>
      </c>
      <c r="B340" s="98" t="s">
        <v>198</v>
      </c>
      <c r="C340" s="98" t="s">
        <v>199</v>
      </c>
      <c r="D340" s="99">
        <v>223000</v>
      </c>
      <c r="E340" s="99">
        <v>0</v>
      </c>
      <c r="F340" s="99"/>
      <c r="G340" s="99">
        <v>50</v>
      </c>
      <c r="H340" s="99">
        <v>23</v>
      </c>
      <c r="I340" s="99" t="s">
        <v>215</v>
      </c>
      <c r="J340" s="99" t="s">
        <v>151</v>
      </c>
      <c r="K340" s="99" t="b">
        <v>1</v>
      </c>
      <c r="L340" s="95">
        <v>2014</v>
      </c>
      <c r="M340" s="96">
        <v>73069757</v>
      </c>
      <c r="N340" s="100">
        <v>41018</v>
      </c>
      <c r="O340" s="100">
        <v>41018</v>
      </c>
    </row>
    <row r="341" spans="1:15" ht="14.25">
      <c r="A341" s="97">
        <v>2012</v>
      </c>
      <c r="B341" s="98" t="s">
        <v>198</v>
      </c>
      <c r="C341" s="98" t="s">
        <v>199</v>
      </c>
      <c r="D341" s="99">
        <v>223000</v>
      </c>
      <c r="E341" s="99">
        <v>0</v>
      </c>
      <c r="F341" s="99"/>
      <c r="G341" s="99">
        <v>45</v>
      </c>
      <c r="H341" s="99" t="s">
        <v>148</v>
      </c>
      <c r="I341" s="99" t="s">
        <v>210</v>
      </c>
      <c r="J341" s="99" t="s">
        <v>53</v>
      </c>
      <c r="K341" s="99" t="b">
        <v>0</v>
      </c>
      <c r="L341" s="95">
        <v>2021</v>
      </c>
      <c r="M341" s="96">
        <v>0.0416</v>
      </c>
      <c r="N341" s="100">
        <v>41018</v>
      </c>
      <c r="O341" s="100">
        <v>41018</v>
      </c>
    </row>
    <row r="342" spans="1:15" ht="14.25">
      <c r="A342" s="97">
        <v>2012</v>
      </c>
      <c r="B342" s="98" t="s">
        <v>198</v>
      </c>
      <c r="C342" s="98" t="s">
        <v>199</v>
      </c>
      <c r="D342" s="99">
        <v>223000</v>
      </c>
      <c r="E342" s="99">
        <v>0</v>
      </c>
      <c r="F342" s="99"/>
      <c r="G342" s="99">
        <v>9</v>
      </c>
      <c r="H342" s="99" t="s">
        <v>108</v>
      </c>
      <c r="I342" s="99"/>
      <c r="J342" s="99" t="s">
        <v>109</v>
      </c>
      <c r="K342" s="99" t="b">
        <v>0</v>
      </c>
      <c r="L342" s="95">
        <v>2012</v>
      </c>
      <c r="M342" s="96">
        <v>11018343</v>
      </c>
      <c r="N342" s="100">
        <v>41018</v>
      </c>
      <c r="O342" s="100">
        <v>41018</v>
      </c>
    </row>
    <row r="343" spans="1:15" ht="14.25">
      <c r="A343" s="97">
        <v>2012</v>
      </c>
      <c r="B343" s="98" t="s">
        <v>198</v>
      </c>
      <c r="C343" s="98" t="s">
        <v>199</v>
      </c>
      <c r="D343" s="99">
        <v>223000</v>
      </c>
      <c r="E343" s="99">
        <v>0</v>
      </c>
      <c r="F343" s="99"/>
      <c r="G343" s="99">
        <v>14</v>
      </c>
      <c r="H343" s="99">
        <v>3</v>
      </c>
      <c r="I343" s="99" t="s">
        <v>217</v>
      </c>
      <c r="J343" s="99" t="s">
        <v>118</v>
      </c>
      <c r="K343" s="99" t="b">
        <v>1</v>
      </c>
      <c r="L343" s="95">
        <v>2019</v>
      </c>
      <c r="M343" s="96">
        <v>3948447</v>
      </c>
      <c r="N343" s="100">
        <v>41018</v>
      </c>
      <c r="O343" s="100">
        <v>41018</v>
      </c>
    </row>
    <row r="344" spans="1:15" ht="14.25">
      <c r="A344" s="97">
        <v>2012</v>
      </c>
      <c r="B344" s="98" t="s">
        <v>198</v>
      </c>
      <c r="C344" s="98" t="s">
        <v>199</v>
      </c>
      <c r="D344" s="99">
        <v>223000</v>
      </c>
      <c r="E344" s="99">
        <v>0</v>
      </c>
      <c r="F344" s="99"/>
      <c r="G344" s="99">
        <v>55</v>
      </c>
      <c r="H344" s="99">
        <v>28</v>
      </c>
      <c r="I344" s="99" t="s">
        <v>218</v>
      </c>
      <c r="J344" s="99" t="s">
        <v>48</v>
      </c>
      <c r="K344" s="99" t="b">
        <v>0</v>
      </c>
      <c r="L344" s="95">
        <v>2019</v>
      </c>
      <c r="M344" s="96">
        <v>2501733</v>
      </c>
      <c r="N344" s="100">
        <v>41018</v>
      </c>
      <c r="O344" s="100">
        <v>41018</v>
      </c>
    </row>
    <row r="345" spans="1:15" ht="14.25">
      <c r="A345" s="97">
        <v>2012</v>
      </c>
      <c r="B345" s="98" t="s">
        <v>198</v>
      </c>
      <c r="C345" s="98" t="s">
        <v>199</v>
      </c>
      <c r="D345" s="99">
        <v>223000</v>
      </c>
      <c r="E345" s="99">
        <v>0</v>
      </c>
      <c r="F345" s="99"/>
      <c r="G345" s="99">
        <v>14</v>
      </c>
      <c r="H345" s="99">
        <v>3</v>
      </c>
      <c r="I345" s="99" t="s">
        <v>217</v>
      </c>
      <c r="J345" s="99" t="s">
        <v>118</v>
      </c>
      <c r="K345" s="99" t="b">
        <v>1</v>
      </c>
      <c r="L345" s="95">
        <v>2012</v>
      </c>
      <c r="M345" s="96">
        <v>14699159</v>
      </c>
      <c r="N345" s="100">
        <v>41018</v>
      </c>
      <c r="O345" s="100">
        <v>41018</v>
      </c>
    </row>
    <row r="346" spans="1:15" ht="14.25">
      <c r="A346" s="97">
        <v>2012</v>
      </c>
      <c r="B346" s="98" t="s">
        <v>198</v>
      </c>
      <c r="C346" s="98" t="s">
        <v>199</v>
      </c>
      <c r="D346" s="99">
        <v>223000</v>
      </c>
      <c r="E346" s="99">
        <v>0</v>
      </c>
      <c r="F346" s="99"/>
      <c r="G346" s="99">
        <v>47</v>
      </c>
      <c r="H346" s="99" t="s">
        <v>149</v>
      </c>
      <c r="I346" s="99" t="s">
        <v>209</v>
      </c>
      <c r="J346" s="99" t="s">
        <v>78</v>
      </c>
      <c r="K346" s="99" t="b">
        <v>0</v>
      </c>
      <c r="L346" s="95">
        <v>2021</v>
      </c>
      <c r="M346" s="96">
        <v>48</v>
      </c>
      <c r="N346" s="100">
        <v>41018</v>
      </c>
      <c r="O346" s="100">
        <v>41018</v>
      </c>
    </row>
    <row r="347" spans="1:15" ht="14.25">
      <c r="A347" s="97">
        <v>2012</v>
      </c>
      <c r="B347" s="98" t="s">
        <v>198</v>
      </c>
      <c r="C347" s="98" t="s">
        <v>199</v>
      </c>
      <c r="D347" s="99">
        <v>223000</v>
      </c>
      <c r="E347" s="99">
        <v>0</v>
      </c>
      <c r="F347" s="99"/>
      <c r="G347" s="99">
        <v>51</v>
      </c>
      <c r="H347" s="99">
        <v>24</v>
      </c>
      <c r="I347" s="99" t="s">
        <v>203</v>
      </c>
      <c r="J347" s="99" t="s">
        <v>152</v>
      </c>
      <c r="K347" s="99" t="b">
        <v>1</v>
      </c>
      <c r="L347" s="95">
        <v>2015</v>
      </c>
      <c r="M347" s="96">
        <v>72913675</v>
      </c>
      <c r="N347" s="100">
        <v>41018</v>
      </c>
      <c r="O347" s="100">
        <v>41018</v>
      </c>
    </row>
    <row r="348" spans="1:15" ht="14.25">
      <c r="A348" s="97">
        <v>2012</v>
      </c>
      <c r="B348" s="98" t="s">
        <v>198</v>
      </c>
      <c r="C348" s="98" t="s">
        <v>199</v>
      </c>
      <c r="D348" s="99">
        <v>223000</v>
      </c>
      <c r="E348" s="99">
        <v>0</v>
      </c>
      <c r="F348" s="99"/>
      <c r="G348" s="99">
        <v>30</v>
      </c>
      <c r="H348" s="99">
        <v>11</v>
      </c>
      <c r="I348" s="99"/>
      <c r="J348" s="99" t="s">
        <v>64</v>
      </c>
      <c r="K348" s="99" t="b">
        <v>1</v>
      </c>
      <c r="L348" s="95">
        <v>2012</v>
      </c>
      <c r="M348" s="96">
        <v>7000000</v>
      </c>
      <c r="N348" s="100">
        <v>41018</v>
      </c>
      <c r="O348" s="100">
        <v>41018</v>
      </c>
    </row>
    <row r="349" spans="1:15" ht="14.25">
      <c r="A349" s="97">
        <v>2012</v>
      </c>
      <c r="B349" s="98" t="s">
        <v>198</v>
      </c>
      <c r="C349" s="98" t="s">
        <v>199</v>
      </c>
      <c r="D349" s="99">
        <v>223000</v>
      </c>
      <c r="E349" s="99">
        <v>0</v>
      </c>
      <c r="F349" s="99"/>
      <c r="G349" s="99">
        <v>26</v>
      </c>
      <c r="H349" s="99">
        <v>9</v>
      </c>
      <c r="I349" s="99" t="s">
        <v>221</v>
      </c>
      <c r="J349" s="99" t="s">
        <v>133</v>
      </c>
      <c r="K349" s="99" t="b">
        <v>0</v>
      </c>
      <c r="L349" s="95">
        <v>2013</v>
      </c>
      <c r="M349" s="96">
        <v>13756273</v>
      </c>
      <c r="N349" s="100">
        <v>41018</v>
      </c>
      <c r="O349" s="100">
        <v>41018</v>
      </c>
    </row>
    <row r="350" spans="1:15" ht="14.25">
      <c r="A350" s="97">
        <v>2012</v>
      </c>
      <c r="B350" s="98" t="s">
        <v>198</v>
      </c>
      <c r="C350" s="98" t="s">
        <v>199</v>
      </c>
      <c r="D350" s="99">
        <v>223000</v>
      </c>
      <c r="E350" s="99">
        <v>0</v>
      </c>
      <c r="F350" s="99"/>
      <c r="G350" s="99">
        <v>4</v>
      </c>
      <c r="H350" s="99" t="s">
        <v>100</v>
      </c>
      <c r="I350" s="99"/>
      <c r="J350" s="99" t="s">
        <v>101</v>
      </c>
      <c r="K350" s="99" t="b">
        <v>1</v>
      </c>
      <c r="L350" s="95">
        <v>2012</v>
      </c>
      <c r="M350" s="96">
        <v>12684159</v>
      </c>
      <c r="N350" s="100">
        <v>41018</v>
      </c>
      <c r="O350" s="100">
        <v>41018</v>
      </c>
    </row>
    <row r="351" spans="1:15" ht="14.25">
      <c r="A351" s="97">
        <v>2012</v>
      </c>
      <c r="B351" s="98" t="s">
        <v>198</v>
      </c>
      <c r="C351" s="98" t="s">
        <v>199</v>
      </c>
      <c r="D351" s="99">
        <v>223000</v>
      </c>
      <c r="E351" s="99">
        <v>0</v>
      </c>
      <c r="F351" s="99"/>
      <c r="G351" s="99">
        <v>55</v>
      </c>
      <c r="H351" s="99">
        <v>28</v>
      </c>
      <c r="I351" s="99" t="s">
        <v>218</v>
      </c>
      <c r="J351" s="99" t="s">
        <v>48</v>
      </c>
      <c r="K351" s="99" t="b">
        <v>0</v>
      </c>
      <c r="L351" s="95">
        <v>2024</v>
      </c>
      <c r="M351" s="96">
        <v>2154460</v>
      </c>
      <c r="N351" s="100">
        <v>41018</v>
      </c>
      <c r="O351" s="100">
        <v>41018</v>
      </c>
    </row>
    <row r="352" spans="1:15" ht="14.25">
      <c r="A352" s="97">
        <v>2012</v>
      </c>
      <c r="B352" s="98" t="s">
        <v>198</v>
      </c>
      <c r="C352" s="98" t="s">
        <v>199</v>
      </c>
      <c r="D352" s="99">
        <v>223000</v>
      </c>
      <c r="E352" s="99">
        <v>0</v>
      </c>
      <c r="F352" s="99"/>
      <c r="G352" s="99">
        <v>48</v>
      </c>
      <c r="H352" s="99">
        <v>22</v>
      </c>
      <c r="I352" s="99" t="s">
        <v>219</v>
      </c>
      <c r="J352" s="99" t="s">
        <v>79</v>
      </c>
      <c r="K352" s="99" t="b">
        <v>0</v>
      </c>
      <c r="L352" s="95">
        <v>2019</v>
      </c>
      <c r="M352" s="96">
        <v>0.0412</v>
      </c>
      <c r="N352" s="100">
        <v>41018</v>
      </c>
      <c r="O352" s="100">
        <v>41018</v>
      </c>
    </row>
    <row r="353" spans="1:15" ht="14.25">
      <c r="A353" s="97">
        <v>2012</v>
      </c>
      <c r="B353" s="98" t="s">
        <v>198</v>
      </c>
      <c r="C353" s="98" t="s">
        <v>199</v>
      </c>
      <c r="D353" s="99">
        <v>223000</v>
      </c>
      <c r="E353" s="99">
        <v>0</v>
      </c>
      <c r="F353" s="99"/>
      <c r="G353" s="99">
        <v>57</v>
      </c>
      <c r="H353" s="99">
        <v>30</v>
      </c>
      <c r="I353" s="99" t="s">
        <v>201</v>
      </c>
      <c r="J353" s="99" t="s">
        <v>155</v>
      </c>
      <c r="K353" s="99" t="b">
        <v>0</v>
      </c>
      <c r="L353" s="95">
        <v>2020</v>
      </c>
      <c r="M353" s="96">
        <v>2501733</v>
      </c>
      <c r="N353" s="100">
        <v>41018</v>
      </c>
      <c r="O353" s="100">
        <v>41018</v>
      </c>
    </row>
    <row r="354" spans="1:15" ht="14.25">
      <c r="A354" s="97">
        <v>2012</v>
      </c>
      <c r="B354" s="98" t="s">
        <v>198</v>
      </c>
      <c r="C354" s="98" t="s">
        <v>199</v>
      </c>
      <c r="D354" s="99">
        <v>223000</v>
      </c>
      <c r="E354" s="99">
        <v>0</v>
      </c>
      <c r="F354" s="99"/>
      <c r="G354" s="99">
        <v>57</v>
      </c>
      <c r="H354" s="99">
        <v>30</v>
      </c>
      <c r="I354" s="99" t="s">
        <v>201</v>
      </c>
      <c r="J354" s="99" t="s">
        <v>155</v>
      </c>
      <c r="K354" s="99" t="b">
        <v>0</v>
      </c>
      <c r="L354" s="95">
        <v>2019</v>
      </c>
      <c r="M354" s="96">
        <v>2501733</v>
      </c>
      <c r="N354" s="100">
        <v>41018</v>
      </c>
      <c r="O354" s="100">
        <v>41018</v>
      </c>
    </row>
    <row r="355" spans="1:15" ht="14.25">
      <c r="A355" s="97">
        <v>2012</v>
      </c>
      <c r="B355" s="98" t="s">
        <v>198</v>
      </c>
      <c r="C355" s="98" t="s">
        <v>199</v>
      </c>
      <c r="D355" s="99">
        <v>223000</v>
      </c>
      <c r="E355" s="99">
        <v>0</v>
      </c>
      <c r="F355" s="99"/>
      <c r="G355" s="99">
        <v>53</v>
      </c>
      <c r="H355" s="99">
        <v>26</v>
      </c>
      <c r="I355" s="99" t="s">
        <v>220</v>
      </c>
      <c r="J355" s="99" t="s">
        <v>153</v>
      </c>
      <c r="K355" s="99" t="b">
        <v>1</v>
      </c>
      <c r="L355" s="95">
        <v>2013</v>
      </c>
      <c r="M355" s="96">
        <v>90274501</v>
      </c>
      <c r="N355" s="100">
        <v>41018</v>
      </c>
      <c r="O355" s="100">
        <v>41018</v>
      </c>
    </row>
    <row r="356" spans="1:15" ht="14.25">
      <c r="A356" s="97">
        <v>2012</v>
      </c>
      <c r="B356" s="98" t="s">
        <v>198</v>
      </c>
      <c r="C356" s="98" t="s">
        <v>199</v>
      </c>
      <c r="D356" s="99">
        <v>223000</v>
      </c>
      <c r="E356" s="99">
        <v>0</v>
      </c>
      <c r="F356" s="99"/>
      <c r="G356" s="99">
        <v>53</v>
      </c>
      <c r="H356" s="99">
        <v>26</v>
      </c>
      <c r="I356" s="99" t="s">
        <v>220</v>
      </c>
      <c r="J356" s="99" t="s">
        <v>153</v>
      </c>
      <c r="K356" s="99" t="b">
        <v>1</v>
      </c>
      <c r="L356" s="95">
        <v>2020</v>
      </c>
      <c r="M356" s="96">
        <v>80780681</v>
      </c>
      <c r="N356" s="100">
        <v>41018</v>
      </c>
      <c r="O356" s="100">
        <v>41018</v>
      </c>
    </row>
    <row r="357" spans="1:15" ht="14.25">
      <c r="A357" s="97">
        <v>2012</v>
      </c>
      <c r="B357" s="98" t="s">
        <v>198</v>
      </c>
      <c r="C357" s="98" t="s">
        <v>199</v>
      </c>
      <c r="D357" s="99">
        <v>223000</v>
      </c>
      <c r="E357" s="99">
        <v>0</v>
      </c>
      <c r="F357" s="99"/>
      <c r="G357" s="99">
        <v>49</v>
      </c>
      <c r="H357" s="99" t="s">
        <v>150</v>
      </c>
      <c r="I357" s="99" t="s">
        <v>204</v>
      </c>
      <c r="J357" s="99" t="s">
        <v>81</v>
      </c>
      <c r="K357" s="99" t="b">
        <v>0</v>
      </c>
      <c r="L357" s="95">
        <v>2021</v>
      </c>
      <c r="M357" s="96">
        <v>48</v>
      </c>
      <c r="N357" s="100">
        <v>41018</v>
      </c>
      <c r="O357" s="100">
        <v>41018</v>
      </c>
    </row>
    <row r="358" spans="1:15" ht="14.25">
      <c r="A358" s="97">
        <v>2012</v>
      </c>
      <c r="B358" s="98" t="s">
        <v>198</v>
      </c>
      <c r="C358" s="98" t="s">
        <v>199</v>
      </c>
      <c r="D358" s="99">
        <v>223000</v>
      </c>
      <c r="E358" s="99">
        <v>0</v>
      </c>
      <c r="F358" s="99"/>
      <c r="G358" s="99">
        <v>50</v>
      </c>
      <c r="H358" s="99">
        <v>23</v>
      </c>
      <c r="I358" s="99" t="s">
        <v>215</v>
      </c>
      <c r="J358" s="99" t="s">
        <v>151</v>
      </c>
      <c r="K358" s="99" t="b">
        <v>1</v>
      </c>
      <c r="L358" s="95">
        <v>2012</v>
      </c>
      <c r="M358" s="96">
        <v>75996925</v>
      </c>
      <c r="N358" s="100">
        <v>41018</v>
      </c>
      <c r="O358" s="100">
        <v>41018</v>
      </c>
    </row>
    <row r="359" spans="1:15" ht="14.25">
      <c r="A359" s="97">
        <v>2012</v>
      </c>
      <c r="B359" s="98" t="s">
        <v>198</v>
      </c>
      <c r="C359" s="98" t="s">
        <v>199</v>
      </c>
      <c r="D359" s="99">
        <v>223000</v>
      </c>
      <c r="E359" s="99">
        <v>0</v>
      </c>
      <c r="F359" s="99"/>
      <c r="G359" s="99">
        <v>53</v>
      </c>
      <c r="H359" s="99">
        <v>26</v>
      </c>
      <c r="I359" s="99" t="s">
        <v>220</v>
      </c>
      <c r="J359" s="99" t="s">
        <v>153</v>
      </c>
      <c r="K359" s="99" t="b">
        <v>1</v>
      </c>
      <c r="L359" s="95">
        <v>2015</v>
      </c>
      <c r="M359" s="96">
        <v>81075408</v>
      </c>
      <c r="N359" s="100">
        <v>41018</v>
      </c>
      <c r="O359" s="100">
        <v>41018</v>
      </c>
    </row>
    <row r="360" spans="1:15" ht="14.25">
      <c r="A360" s="97">
        <v>2012</v>
      </c>
      <c r="B360" s="98" t="s">
        <v>198</v>
      </c>
      <c r="C360" s="98" t="s">
        <v>199</v>
      </c>
      <c r="D360" s="99">
        <v>223000</v>
      </c>
      <c r="E360" s="99">
        <v>0</v>
      </c>
      <c r="F360" s="99"/>
      <c r="G360" s="99">
        <v>6</v>
      </c>
      <c r="H360" s="99" t="s">
        <v>104</v>
      </c>
      <c r="I360" s="99"/>
      <c r="J360" s="99" t="s">
        <v>105</v>
      </c>
      <c r="K360" s="99" t="b">
        <v>1</v>
      </c>
      <c r="L360" s="95">
        <v>2012</v>
      </c>
      <c r="M360" s="96">
        <v>443556</v>
      </c>
      <c r="N360" s="100">
        <v>41018</v>
      </c>
      <c r="O360" s="100">
        <v>41018</v>
      </c>
    </row>
    <row r="361" spans="1:15" ht="14.25">
      <c r="A361" s="97">
        <v>2012</v>
      </c>
      <c r="B361" s="98" t="s">
        <v>198</v>
      </c>
      <c r="C361" s="98" t="s">
        <v>199</v>
      </c>
      <c r="D361" s="99">
        <v>223000</v>
      </c>
      <c r="E361" s="99">
        <v>0</v>
      </c>
      <c r="F361" s="99"/>
      <c r="G361" s="99">
        <v>44</v>
      </c>
      <c r="H361" s="99">
        <v>20</v>
      </c>
      <c r="I361" s="99" t="s">
        <v>202</v>
      </c>
      <c r="J361" s="99" t="s">
        <v>147</v>
      </c>
      <c r="K361" s="99" t="b">
        <v>1</v>
      </c>
      <c r="L361" s="95">
        <v>2026</v>
      </c>
      <c r="M361" s="96">
        <v>0.0135</v>
      </c>
      <c r="N361" s="100">
        <v>41018</v>
      </c>
      <c r="O361" s="100">
        <v>41018</v>
      </c>
    </row>
    <row r="362" spans="1:15" ht="14.25">
      <c r="A362" s="97">
        <v>2012</v>
      </c>
      <c r="B362" s="98" t="s">
        <v>198</v>
      </c>
      <c r="C362" s="98" t="s">
        <v>199</v>
      </c>
      <c r="D362" s="99">
        <v>223000</v>
      </c>
      <c r="E362" s="99">
        <v>0</v>
      </c>
      <c r="F362" s="99"/>
      <c r="G362" s="99">
        <v>33</v>
      </c>
      <c r="H362" s="99">
        <v>13</v>
      </c>
      <c r="I362" s="99"/>
      <c r="J362" s="99" t="s">
        <v>68</v>
      </c>
      <c r="K362" s="99" t="b">
        <v>1</v>
      </c>
      <c r="L362" s="95">
        <v>2020</v>
      </c>
      <c r="M362" s="96">
        <v>9965127</v>
      </c>
      <c r="N362" s="100">
        <v>41018</v>
      </c>
      <c r="O362" s="100">
        <v>41018</v>
      </c>
    </row>
    <row r="363" spans="1:15" ht="14.25">
      <c r="A363" s="97">
        <v>2012</v>
      </c>
      <c r="B363" s="98" t="s">
        <v>198</v>
      </c>
      <c r="C363" s="98" t="s">
        <v>199</v>
      </c>
      <c r="D363" s="99">
        <v>223000</v>
      </c>
      <c r="E363" s="99">
        <v>0</v>
      </c>
      <c r="F363" s="99"/>
      <c r="G363" s="99">
        <v>26</v>
      </c>
      <c r="H363" s="99">
        <v>9</v>
      </c>
      <c r="I363" s="99" t="s">
        <v>221</v>
      </c>
      <c r="J363" s="99" t="s">
        <v>133</v>
      </c>
      <c r="K363" s="99" t="b">
        <v>0</v>
      </c>
      <c r="L363" s="95">
        <v>2015</v>
      </c>
      <c r="M363" s="96">
        <v>5660000</v>
      </c>
      <c r="N363" s="100">
        <v>41018</v>
      </c>
      <c r="O363" s="100">
        <v>41018</v>
      </c>
    </row>
    <row r="364" spans="1:15" ht="14.25">
      <c r="A364" s="97">
        <v>2012</v>
      </c>
      <c r="B364" s="98" t="s">
        <v>198</v>
      </c>
      <c r="C364" s="98" t="s">
        <v>199</v>
      </c>
      <c r="D364" s="99">
        <v>223000</v>
      </c>
      <c r="E364" s="99">
        <v>0</v>
      </c>
      <c r="F364" s="99"/>
      <c r="G364" s="99">
        <v>54</v>
      </c>
      <c r="H364" s="99">
        <v>27</v>
      </c>
      <c r="I364" s="99" t="s">
        <v>200</v>
      </c>
      <c r="J364" s="99" t="s">
        <v>46</v>
      </c>
      <c r="K364" s="99" t="b">
        <v>0</v>
      </c>
      <c r="L364" s="95">
        <v>2022</v>
      </c>
      <c r="M364" s="96">
        <v>80158813</v>
      </c>
      <c r="N364" s="100">
        <v>41018</v>
      </c>
      <c r="O364" s="100">
        <v>41018</v>
      </c>
    </row>
    <row r="365" spans="1:15" ht="14.25">
      <c r="A365" s="97">
        <v>2012</v>
      </c>
      <c r="B365" s="98" t="s">
        <v>198</v>
      </c>
      <c r="C365" s="98" t="s">
        <v>199</v>
      </c>
      <c r="D365" s="99">
        <v>223000</v>
      </c>
      <c r="E365" s="99">
        <v>0</v>
      </c>
      <c r="F365" s="99"/>
      <c r="G365" s="99">
        <v>5</v>
      </c>
      <c r="H365" s="99" t="s">
        <v>102</v>
      </c>
      <c r="I365" s="99"/>
      <c r="J365" s="99" t="s">
        <v>103</v>
      </c>
      <c r="K365" s="99" t="b">
        <v>1</v>
      </c>
      <c r="L365" s="95">
        <v>2015</v>
      </c>
      <c r="M365" s="96">
        <v>6160000</v>
      </c>
      <c r="N365" s="100">
        <v>41018</v>
      </c>
      <c r="O365" s="100">
        <v>41018</v>
      </c>
    </row>
    <row r="366" spans="1:15" ht="14.25">
      <c r="A366" s="97">
        <v>2012</v>
      </c>
      <c r="B366" s="98" t="s">
        <v>198</v>
      </c>
      <c r="C366" s="98" t="s">
        <v>199</v>
      </c>
      <c r="D366" s="99">
        <v>223000</v>
      </c>
      <c r="E366" s="99">
        <v>0</v>
      </c>
      <c r="F366" s="99"/>
      <c r="G366" s="99">
        <v>55</v>
      </c>
      <c r="H366" s="99">
        <v>28</v>
      </c>
      <c r="I366" s="99" t="s">
        <v>218</v>
      </c>
      <c r="J366" s="99" t="s">
        <v>48</v>
      </c>
      <c r="K366" s="99" t="b">
        <v>0</v>
      </c>
      <c r="L366" s="95">
        <v>2014</v>
      </c>
      <c r="M366" s="96">
        <v>4319922</v>
      </c>
      <c r="N366" s="100">
        <v>41018</v>
      </c>
      <c r="O366" s="100">
        <v>41018</v>
      </c>
    </row>
    <row r="367" spans="1:15" ht="14.25">
      <c r="A367" s="97">
        <v>2012</v>
      </c>
      <c r="B367" s="98" t="s">
        <v>198</v>
      </c>
      <c r="C367" s="98" t="s">
        <v>199</v>
      </c>
      <c r="D367" s="99">
        <v>223000</v>
      </c>
      <c r="E367" s="99">
        <v>0</v>
      </c>
      <c r="F367" s="99"/>
      <c r="G367" s="99">
        <v>1</v>
      </c>
      <c r="H367" s="99">
        <v>1</v>
      </c>
      <c r="I367" s="99" t="s">
        <v>206</v>
      </c>
      <c r="J367" s="99" t="s">
        <v>95</v>
      </c>
      <c r="K367" s="99" t="b">
        <v>1</v>
      </c>
      <c r="L367" s="95">
        <v>2025</v>
      </c>
      <c r="M367" s="96">
        <v>85160000</v>
      </c>
      <c r="N367" s="100">
        <v>41018</v>
      </c>
      <c r="O367" s="100">
        <v>41018</v>
      </c>
    </row>
    <row r="368" spans="1:15" ht="14.25">
      <c r="A368" s="97">
        <v>2012</v>
      </c>
      <c r="B368" s="98" t="s">
        <v>198</v>
      </c>
      <c r="C368" s="98" t="s">
        <v>199</v>
      </c>
      <c r="D368" s="99">
        <v>223000</v>
      </c>
      <c r="E368" s="99">
        <v>0</v>
      </c>
      <c r="F368" s="99"/>
      <c r="G368" s="99">
        <v>33</v>
      </c>
      <c r="H368" s="99">
        <v>13</v>
      </c>
      <c r="I368" s="99"/>
      <c r="J368" s="99" t="s">
        <v>68</v>
      </c>
      <c r="K368" s="99" t="b">
        <v>1</v>
      </c>
      <c r="L368" s="95">
        <v>2024</v>
      </c>
      <c r="M368" s="96">
        <v>1000000</v>
      </c>
      <c r="N368" s="100">
        <v>41018</v>
      </c>
      <c r="O368" s="100">
        <v>41018</v>
      </c>
    </row>
    <row r="369" spans="1:15" ht="14.25">
      <c r="A369" s="97">
        <v>2012</v>
      </c>
      <c r="B369" s="98" t="s">
        <v>198</v>
      </c>
      <c r="C369" s="98" t="s">
        <v>199</v>
      </c>
      <c r="D369" s="99">
        <v>223000</v>
      </c>
      <c r="E369" s="99">
        <v>0</v>
      </c>
      <c r="F369" s="99"/>
      <c r="G369" s="99">
        <v>45</v>
      </c>
      <c r="H369" s="99" t="s">
        <v>148</v>
      </c>
      <c r="I369" s="99" t="s">
        <v>210</v>
      </c>
      <c r="J369" s="99" t="s">
        <v>53</v>
      </c>
      <c r="K369" s="99" t="b">
        <v>0</v>
      </c>
      <c r="L369" s="95">
        <v>2022</v>
      </c>
      <c r="M369" s="96">
        <v>0.0391</v>
      </c>
      <c r="N369" s="100">
        <v>41018</v>
      </c>
      <c r="O369" s="100">
        <v>41018</v>
      </c>
    </row>
    <row r="370" spans="1:15" ht="14.25">
      <c r="A370" s="97">
        <v>2012</v>
      </c>
      <c r="B370" s="98" t="s">
        <v>198</v>
      </c>
      <c r="C370" s="98" t="s">
        <v>199</v>
      </c>
      <c r="D370" s="99">
        <v>223000</v>
      </c>
      <c r="E370" s="99">
        <v>0</v>
      </c>
      <c r="F370" s="99"/>
      <c r="G370" s="99">
        <v>54</v>
      </c>
      <c r="H370" s="99">
        <v>27</v>
      </c>
      <c r="I370" s="99" t="s">
        <v>200</v>
      </c>
      <c r="J370" s="99" t="s">
        <v>46</v>
      </c>
      <c r="K370" s="99" t="b">
        <v>0</v>
      </c>
      <c r="L370" s="95">
        <v>2021</v>
      </c>
      <c r="M370" s="96">
        <v>79220017</v>
      </c>
      <c r="N370" s="100">
        <v>41018</v>
      </c>
      <c r="O370" s="100">
        <v>41018</v>
      </c>
    </row>
    <row r="371" spans="1:15" ht="14.25">
      <c r="A371" s="97">
        <v>2012</v>
      </c>
      <c r="B371" s="98" t="s">
        <v>198</v>
      </c>
      <c r="C371" s="98" t="s">
        <v>199</v>
      </c>
      <c r="D371" s="99">
        <v>223000</v>
      </c>
      <c r="E371" s="99">
        <v>0</v>
      </c>
      <c r="F371" s="99"/>
      <c r="G371" s="99">
        <v>49</v>
      </c>
      <c r="H371" s="99" t="s">
        <v>150</v>
      </c>
      <c r="I371" s="99" t="s">
        <v>204</v>
      </c>
      <c r="J371" s="99" t="s">
        <v>81</v>
      </c>
      <c r="K371" s="99" t="b">
        <v>0</v>
      </c>
      <c r="L371" s="95">
        <v>2017</v>
      </c>
      <c r="M371" s="96">
        <v>758</v>
      </c>
      <c r="N371" s="100">
        <v>41018</v>
      </c>
      <c r="O371" s="100">
        <v>41018</v>
      </c>
    </row>
    <row r="372" spans="1:15" ht="14.25">
      <c r="A372" s="97">
        <v>2012</v>
      </c>
      <c r="B372" s="98" t="s">
        <v>198</v>
      </c>
      <c r="C372" s="98" t="s">
        <v>199</v>
      </c>
      <c r="D372" s="99">
        <v>223000</v>
      </c>
      <c r="E372" s="99">
        <v>0</v>
      </c>
      <c r="F372" s="99"/>
      <c r="G372" s="99">
        <v>44</v>
      </c>
      <c r="H372" s="99">
        <v>20</v>
      </c>
      <c r="I372" s="99" t="s">
        <v>202</v>
      </c>
      <c r="J372" s="99" t="s">
        <v>147</v>
      </c>
      <c r="K372" s="99" t="b">
        <v>1</v>
      </c>
      <c r="L372" s="95">
        <v>2019</v>
      </c>
      <c r="M372" s="96">
        <v>0.0396</v>
      </c>
      <c r="N372" s="100">
        <v>41018</v>
      </c>
      <c r="O372" s="100">
        <v>41018</v>
      </c>
    </row>
    <row r="373" spans="1:15" ht="14.25">
      <c r="A373" s="97">
        <v>2012</v>
      </c>
      <c r="B373" s="98" t="s">
        <v>198</v>
      </c>
      <c r="C373" s="98" t="s">
        <v>199</v>
      </c>
      <c r="D373" s="99">
        <v>223000</v>
      </c>
      <c r="E373" s="99">
        <v>0</v>
      </c>
      <c r="F373" s="99"/>
      <c r="G373" s="99">
        <v>7</v>
      </c>
      <c r="H373" s="99">
        <v>2</v>
      </c>
      <c r="I373" s="99"/>
      <c r="J373" s="99" t="s">
        <v>3</v>
      </c>
      <c r="K373" s="99" t="b">
        <v>1</v>
      </c>
      <c r="L373" s="95">
        <v>2019</v>
      </c>
      <c r="M373" s="96">
        <v>75892528</v>
      </c>
      <c r="N373" s="100">
        <v>41018</v>
      </c>
      <c r="O373" s="100">
        <v>41018</v>
      </c>
    </row>
    <row r="374" spans="1:15" ht="14.25">
      <c r="A374" s="97">
        <v>2012</v>
      </c>
      <c r="B374" s="98" t="s">
        <v>198</v>
      </c>
      <c r="C374" s="98" t="s">
        <v>199</v>
      </c>
      <c r="D374" s="99">
        <v>223000</v>
      </c>
      <c r="E374" s="99">
        <v>0</v>
      </c>
      <c r="F374" s="99"/>
      <c r="G374" s="99">
        <v>9</v>
      </c>
      <c r="H374" s="99" t="s">
        <v>108</v>
      </c>
      <c r="I374" s="99"/>
      <c r="J374" s="99" t="s">
        <v>109</v>
      </c>
      <c r="K374" s="99" t="b">
        <v>0</v>
      </c>
      <c r="L374" s="95">
        <v>2026</v>
      </c>
      <c r="M374" s="96">
        <v>13000000</v>
      </c>
      <c r="N374" s="100">
        <v>41018</v>
      </c>
      <c r="O374" s="100">
        <v>41018</v>
      </c>
    </row>
    <row r="375" spans="1:15" ht="14.25">
      <c r="A375" s="97">
        <v>2012</v>
      </c>
      <c r="B375" s="98" t="s">
        <v>198</v>
      </c>
      <c r="C375" s="98" t="s">
        <v>199</v>
      </c>
      <c r="D375" s="99">
        <v>223000</v>
      </c>
      <c r="E375" s="99">
        <v>0</v>
      </c>
      <c r="F375" s="99"/>
      <c r="G375" s="99">
        <v>46</v>
      </c>
      <c r="H375" s="99">
        <v>21</v>
      </c>
      <c r="I375" s="99" t="s">
        <v>213</v>
      </c>
      <c r="J375" s="99" t="s">
        <v>54</v>
      </c>
      <c r="K375" s="99" t="b">
        <v>1</v>
      </c>
      <c r="L375" s="95">
        <v>2025</v>
      </c>
      <c r="M375" s="96">
        <v>0.0065</v>
      </c>
      <c r="N375" s="100">
        <v>41018</v>
      </c>
      <c r="O375" s="100">
        <v>41018</v>
      </c>
    </row>
    <row r="376" spans="1:15" ht="14.25">
      <c r="A376" s="97">
        <v>2012</v>
      </c>
      <c r="B376" s="98" t="s">
        <v>198</v>
      </c>
      <c r="C376" s="98" t="s">
        <v>199</v>
      </c>
      <c r="D376" s="99">
        <v>223000</v>
      </c>
      <c r="E376" s="99">
        <v>0</v>
      </c>
      <c r="F376" s="99"/>
      <c r="G376" s="99">
        <v>53</v>
      </c>
      <c r="H376" s="99">
        <v>26</v>
      </c>
      <c r="I376" s="99" t="s">
        <v>220</v>
      </c>
      <c r="J376" s="99" t="s">
        <v>153</v>
      </c>
      <c r="K376" s="99" t="b">
        <v>1</v>
      </c>
      <c r="L376" s="95">
        <v>2019</v>
      </c>
      <c r="M376" s="96">
        <v>79840975</v>
      </c>
      <c r="N376" s="100">
        <v>41018</v>
      </c>
      <c r="O376" s="100">
        <v>41018</v>
      </c>
    </row>
    <row r="377" spans="1:15" ht="14.25">
      <c r="A377" s="97">
        <v>2012</v>
      </c>
      <c r="B377" s="98" t="s">
        <v>198</v>
      </c>
      <c r="C377" s="98" t="s">
        <v>199</v>
      </c>
      <c r="D377" s="99">
        <v>223000</v>
      </c>
      <c r="E377" s="99">
        <v>0</v>
      </c>
      <c r="F377" s="99"/>
      <c r="G377" s="99">
        <v>24</v>
      </c>
      <c r="H377" s="99" t="s">
        <v>130</v>
      </c>
      <c r="I377" s="99"/>
      <c r="J377" s="99" t="s">
        <v>131</v>
      </c>
      <c r="K377" s="99" t="b">
        <v>1</v>
      </c>
      <c r="L377" s="95">
        <v>2025</v>
      </c>
      <c r="M377" s="96">
        <v>52031</v>
      </c>
      <c r="N377" s="100">
        <v>41018</v>
      </c>
      <c r="O377" s="100">
        <v>41018</v>
      </c>
    </row>
    <row r="378" spans="1:15" ht="14.25">
      <c r="A378" s="97">
        <v>2012</v>
      </c>
      <c r="B378" s="98" t="s">
        <v>198</v>
      </c>
      <c r="C378" s="98" t="s">
        <v>199</v>
      </c>
      <c r="D378" s="99">
        <v>223000</v>
      </c>
      <c r="E378" s="99">
        <v>0</v>
      </c>
      <c r="F378" s="99"/>
      <c r="G378" s="99">
        <v>21</v>
      </c>
      <c r="H378" s="99" t="s">
        <v>124</v>
      </c>
      <c r="I378" s="99"/>
      <c r="J378" s="99" t="s">
        <v>125</v>
      </c>
      <c r="K378" s="99" t="b">
        <v>1</v>
      </c>
      <c r="L378" s="95">
        <v>2022</v>
      </c>
      <c r="M378" s="96">
        <v>2154468</v>
      </c>
      <c r="N378" s="100">
        <v>41018</v>
      </c>
      <c r="O378" s="100">
        <v>41018</v>
      </c>
    </row>
    <row r="379" spans="1:15" ht="14.25">
      <c r="A379" s="97">
        <v>2012</v>
      </c>
      <c r="B379" s="98" t="s">
        <v>198</v>
      </c>
      <c r="C379" s="98" t="s">
        <v>199</v>
      </c>
      <c r="D379" s="99">
        <v>223000</v>
      </c>
      <c r="E379" s="99">
        <v>0</v>
      </c>
      <c r="F379" s="99"/>
      <c r="G379" s="99">
        <v>53</v>
      </c>
      <c r="H379" s="99">
        <v>26</v>
      </c>
      <c r="I379" s="99" t="s">
        <v>220</v>
      </c>
      <c r="J379" s="99" t="s">
        <v>153</v>
      </c>
      <c r="K379" s="99" t="b">
        <v>1</v>
      </c>
      <c r="L379" s="95">
        <v>2021</v>
      </c>
      <c r="M379" s="96">
        <v>81721748</v>
      </c>
      <c r="N379" s="100">
        <v>41018</v>
      </c>
      <c r="O379" s="100">
        <v>41018</v>
      </c>
    </row>
    <row r="380" spans="1:15" ht="14.25">
      <c r="A380" s="97">
        <v>2012</v>
      </c>
      <c r="B380" s="98" t="s">
        <v>198</v>
      </c>
      <c r="C380" s="98" t="s">
        <v>199</v>
      </c>
      <c r="D380" s="99">
        <v>223000</v>
      </c>
      <c r="E380" s="99">
        <v>0</v>
      </c>
      <c r="F380" s="99"/>
      <c r="G380" s="99">
        <v>9</v>
      </c>
      <c r="H380" s="99" t="s">
        <v>108</v>
      </c>
      <c r="I380" s="99"/>
      <c r="J380" s="99" t="s">
        <v>109</v>
      </c>
      <c r="K380" s="99" t="b">
        <v>0</v>
      </c>
      <c r="L380" s="95">
        <v>2017</v>
      </c>
      <c r="M380" s="96">
        <v>12100000</v>
      </c>
      <c r="N380" s="100">
        <v>41018</v>
      </c>
      <c r="O380" s="100">
        <v>41018</v>
      </c>
    </row>
    <row r="381" spans="1:15" ht="14.25">
      <c r="A381" s="97">
        <v>2012</v>
      </c>
      <c r="B381" s="98" t="s">
        <v>198</v>
      </c>
      <c r="C381" s="98" t="s">
        <v>199</v>
      </c>
      <c r="D381" s="99">
        <v>223000</v>
      </c>
      <c r="E381" s="99">
        <v>0</v>
      </c>
      <c r="F381" s="99"/>
      <c r="G381" s="99">
        <v>9</v>
      </c>
      <c r="H381" s="99" t="s">
        <v>108</v>
      </c>
      <c r="I381" s="99"/>
      <c r="J381" s="99" t="s">
        <v>109</v>
      </c>
      <c r="K381" s="99" t="b">
        <v>0</v>
      </c>
      <c r="L381" s="95">
        <v>2021</v>
      </c>
      <c r="M381" s="96">
        <v>12500000</v>
      </c>
      <c r="N381" s="100">
        <v>41018</v>
      </c>
      <c r="O381" s="100">
        <v>41018</v>
      </c>
    </row>
    <row r="382" spans="1:15" ht="14.25">
      <c r="A382" s="97">
        <v>2012</v>
      </c>
      <c r="B382" s="98" t="s">
        <v>198</v>
      </c>
      <c r="C382" s="98" t="s">
        <v>199</v>
      </c>
      <c r="D382" s="99">
        <v>223000</v>
      </c>
      <c r="E382" s="99">
        <v>0</v>
      </c>
      <c r="F382" s="99"/>
      <c r="G382" s="99">
        <v>21</v>
      </c>
      <c r="H382" s="99" t="s">
        <v>124</v>
      </c>
      <c r="I382" s="99"/>
      <c r="J382" s="99" t="s">
        <v>125</v>
      </c>
      <c r="K382" s="99" t="b">
        <v>1</v>
      </c>
      <c r="L382" s="95">
        <v>2015</v>
      </c>
      <c r="M382" s="96">
        <v>2501733</v>
      </c>
      <c r="N382" s="100">
        <v>41018</v>
      </c>
      <c r="O382" s="100">
        <v>41018</v>
      </c>
    </row>
    <row r="383" spans="1:15" ht="14.25">
      <c r="A383" s="97">
        <v>2012</v>
      </c>
      <c r="B383" s="98" t="s">
        <v>198</v>
      </c>
      <c r="C383" s="98" t="s">
        <v>199</v>
      </c>
      <c r="D383" s="99">
        <v>223000</v>
      </c>
      <c r="E383" s="99">
        <v>0</v>
      </c>
      <c r="F383" s="99"/>
      <c r="G383" s="99">
        <v>24</v>
      </c>
      <c r="H383" s="99" t="s">
        <v>130</v>
      </c>
      <c r="I383" s="99"/>
      <c r="J383" s="99" t="s">
        <v>131</v>
      </c>
      <c r="K383" s="99" t="b">
        <v>1</v>
      </c>
      <c r="L383" s="95">
        <v>2020</v>
      </c>
      <c r="M383" s="96">
        <v>645858</v>
      </c>
      <c r="N383" s="100">
        <v>41018</v>
      </c>
      <c r="O383" s="100">
        <v>41018</v>
      </c>
    </row>
    <row r="384" spans="1:15" ht="14.25">
      <c r="A384" s="97">
        <v>2012</v>
      </c>
      <c r="B384" s="98" t="s">
        <v>198</v>
      </c>
      <c r="C384" s="98" t="s">
        <v>199</v>
      </c>
      <c r="D384" s="99">
        <v>223000</v>
      </c>
      <c r="E384" s="99">
        <v>0</v>
      </c>
      <c r="F384" s="99"/>
      <c r="G384" s="99">
        <v>46</v>
      </c>
      <c r="H384" s="99">
        <v>21</v>
      </c>
      <c r="I384" s="99" t="s">
        <v>213</v>
      </c>
      <c r="J384" s="99" t="s">
        <v>54</v>
      </c>
      <c r="K384" s="99" t="b">
        <v>1</v>
      </c>
      <c r="L384" s="95">
        <v>2016</v>
      </c>
      <c r="M384" s="96">
        <v>0.0479</v>
      </c>
      <c r="N384" s="100">
        <v>41018</v>
      </c>
      <c r="O384" s="100">
        <v>41018</v>
      </c>
    </row>
    <row r="385" spans="1:15" ht="14.25">
      <c r="A385" s="97">
        <v>2012</v>
      </c>
      <c r="B385" s="98" t="s">
        <v>198</v>
      </c>
      <c r="C385" s="98" t="s">
        <v>199</v>
      </c>
      <c r="D385" s="99">
        <v>223000</v>
      </c>
      <c r="E385" s="99">
        <v>0</v>
      </c>
      <c r="F385" s="99"/>
      <c r="G385" s="99">
        <v>27</v>
      </c>
      <c r="H385" s="99">
        <v>10</v>
      </c>
      <c r="I385" s="99"/>
      <c r="J385" s="99" t="s">
        <v>18</v>
      </c>
      <c r="K385" s="99" t="b">
        <v>0</v>
      </c>
      <c r="L385" s="95">
        <v>2023</v>
      </c>
      <c r="M385" s="96">
        <v>660000</v>
      </c>
      <c r="N385" s="100">
        <v>41018</v>
      </c>
      <c r="O385" s="100">
        <v>41018</v>
      </c>
    </row>
    <row r="386" spans="1:15" ht="14.25">
      <c r="A386" s="97">
        <v>2012</v>
      </c>
      <c r="B386" s="98" t="s">
        <v>198</v>
      </c>
      <c r="C386" s="98" t="s">
        <v>199</v>
      </c>
      <c r="D386" s="99">
        <v>223000</v>
      </c>
      <c r="E386" s="99">
        <v>0</v>
      </c>
      <c r="F386" s="99"/>
      <c r="G386" s="99">
        <v>23</v>
      </c>
      <c r="H386" s="99" t="s">
        <v>128</v>
      </c>
      <c r="I386" s="99"/>
      <c r="J386" s="99" t="s">
        <v>129</v>
      </c>
      <c r="K386" s="99" t="b">
        <v>1</v>
      </c>
      <c r="L386" s="95">
        <v>2025</v>
      </c>
      <c r="M386" s="96">
        <v>52031</v>
      </c>
      <c r="N386" s="100">
        <v>41018</v>
      </c>
      <c r="O386" s="100">
        <v>41018</v>
      </c>
    </row>
    <row r="387" spans="1:15" ht="14.25">
      <c r="A387" s="97">
        <v>2012</v>
      </c>
      <c r="B387" s="98" t="s">
        <v>198</v>
      </c>
      <c r="C387" s="98" t="s">
        <v>199</v>
      </c>
      <c r="D387" s="99">
        <v>223000</v>
      </c>
      <c r="E387" s="99">
        <v>0</v>
      </c>
      <c r="F387" s="99"/>
      <c r="G387" s="99">
        <v>14</v>
      </c>
      <c r="H387" s="99">
        <v>3</v>
      </c>
      <c r="I387" s="99" t="s">
        <v>217</v>
      </c>
      <c r="J387" s="99" t="s">
        <v>118</v>
      </c>
      <c r="K387" s="99" t="b">
        <v>1</v>
      </c>
      <c r="L387" s="95">
        <v>2016</v>
      </c>
      <c r="M387" s="96">
        <v>4871385</v>
      </c>
      <c r="N387" s="100">
        <v>41018</v>
      </c>
      <c r="O387" s="100">
        <v>41018</v>
      </c>
    </row>
    <row r="388" spans="1:15" ht="14.25">
      <c r="A388" s="97">
        <v>2012</v>
      </c>
      <c r="B388" s="98" t="s">
        <v>198</v>
      </c>
      <c r="C388" s="98" t="s">
        <v>199</v>
      </c>
      <c r="D388" s="99">
        <v>223000</v>
      </c>
      <c r="E388" s="99">
        <v>0</v>
      </c>
      <c r="F388" s="99"/>
      <c r="G388" s="99">
        <v>27</v>
      </c>
      <c r="H388" s="99">
        <v>10</v>
      </c>
      <c r="I388" s="99"/>
      <c r="J388" s="99" t="s">
        <v>18</v>
      </c>
      <c r="K388" s="99" t="b">
        <v>0</v>
      </c>
      <c r="L388" s="95">
        <v>2021</v>
      </c>
      <c r="M388" s="96">
        <v>660000</v>
      </c>
      <c r="N388" s="100">
        <v>41018</v>
      </c>
      <c r="O388" s="100">
        <v>41018</v>
      </c>
    </row>
    <row r="389" spans="1:15" ht="14.25">
      <c r="A389" s="97">
        <v>2012</v>
      </c>
      <c r="B389" s="98" t="s">
        <v>198</v>
      </c>
      <c r="C389" s="98" t="s">
        <v>199</v>
      </c>
      <c r="D389" s="99">
        <v>223000</v>
      </c>
      <c r="E389" s="99">
        <v>0</v>
      </c>
      <c r="F389" s="99"/>
      <c r="G389" s="99">
        <v>13</v>
      </c>
      <c r="H389" s="99" t="s">
        <v>116</v>
      </c>
      <c r="I389" s="99"/>
      <c r="J389" s="99" t="s">
        <v>117</v>
      </c>
      <c r="K389" s="99" t="b">
        <v>0</v>
      </c>
      <c r="L389" s="95">
        <v>2012</v>
      </c>
      <c r="M389" s="96">
        <v>539153</v>
      </c>
      <c r="N389" s="100">
        <v>41018</v>
      </c>
      <c r="O389" s="100">
        <v>41018</v>
      </c>
    </row>
    <row r="390" spans="1:15" ht="14.25">
      <c r="A390" s="97">
        <v>2012</v>
      </c>
      <c r="B390" s="98" t="s">
        <v>198</v>
      </c>
      <c r="C390" s="98" t="s">
        <v>199</v>
      </c>
      <c r="D390" s="99">
        <v>223000</v>
      </c>
      <c r="E390" s="99">
        <v>0</v>
      </c>
      <c r="F390" s="99"/>
      <c r="G390" s="99">
        <v>37</v>
      </c>
      <c r="H390" s="99">
        <v>16</v>
      </c>
      <c r="I390" s="99"/>
      <c r="J390" s="99" t="s">
        <v>142</v>
      </c>
      <c r="K390" s="99" t="b">
        <v>1</v>
      </c>
      <c r="L390" s="95">
        <v>2013</v>
      </c>
      <c r="M390" s="96">
        <v>4319913</v>
      </c>
      <c r="N390" s="100">
        <v>41018</v>
      </c>
      <c r="O390" s="100">
        <v>41018</v>
      </c>
    </row>
    <row r="391" spans="1:15" ht="14.25">
      <c r="A391" s="97">
        <v>2012</v>
      </c>
      <c r="B391" s="98" t="s">
        <v>198</v>
      </c>
      <c r="C391" s="98" t="s">
        <v>199</v>
      </c>
      <c r="D391" s="99">
        <v>223000</v>
      </c>
      <c r="E391" s="99">
        <v>0</v>
      </c>
      <c r="F391" s="99"/>
      <c r="G391" s="99">
        <v>54</v>
      </c>
      <c r="H391" s="99">
        <v>27</v>
      </c>
      <c r="I391" s="99" t="s">
        <v>200</v>
      </c>
      <c r="J391" s="99" t="s">
        <v>46</v>
      </c>
      <c r="K391" s="99" t="b">
        <v>0</v>
      </c>
      <c r="L391" s="95">
        <v>2023</v>
      </c>
      <c r="M391" s="96">
        <v>81125063</v>
      </c>
      <c r="N391" s="100">
        <v>41018</v>
      </c>
      <c r="O391" s="100">
        <v>41018</v>
      </c>
    </row>
    <row r="392" spans="1:15" ht="14.25">
      <c r="A392" s="97">
        <v>2012</v>
      </c>
      <c r="B392" s="98" t="s">
        <v>198</v>
      </c>
      <c r="C392" s="98" t="s">
        <v>199</v>
      </c>
      <c r="D392" s="99">
        <v>223000</v>
      </c>
      <c r="E392" s="99">
        <v>0</v>
      </c>
      <c r="F392" s="99"/>
      <c r="G392" s="99">
        <v>42</v>
      </c>
      <c r="H392" s="99">
        <v>19</v>
      </c>
      <c r="I392" s="99" t="s">
        <v>207</v>
      </c>
      <c r="J392" s="99" t="s">
        <v>74</v>
      </c>
      <c r="K392" s="99" t="b">
        <v>1</v>
      </c>
      <c r="L392" s="95">
        <v>2022</v>
      </c>
      <c r="M392" s="96">
        <v>0.0306</v>
      </c>
      <c r="N392" s="100">
        <v>41018</v>
      </c>
      <c r="O392" s="100">
        <v>41018</v>
      </c>
    </row>
    <row r="393" spans="1:15" ht="14.25">
      <c r="A393" s="97">
        <v>2012</v>
      </c>
      <c r="B393" s="98" t="s">
        <v>198</v>
      </c>
      <c r="C393" s="98" t="s">
        <v>199</v>
      </c>
      <c r="D393" s="99">
        <v>223000</v>
      </c>
      <c r="E393" s="99">
        <v>0</v>
      </c>
      <c r="F393" s="99"/>
      <c r="G393" s="99">
        <v>48</v>
      </c>
      <c r="H393" s="99">
        <v>22</v>
      </c>
      <c r="I393" s="99" t="s">
        <v>219</v>
      </c>
      <c r="J393" s="99" t="s">
        <v>79</v>
      </c>
      <c r="K393" s="99" t="b">
        <v>0</v>
      </c>
      <c r="L393" s="95">
        <v>2026</v>
      </c>
      <c r="M393" s="96">
        <v>0.006</v>
      </c>
      <c r="N393" s="100">
        <v>41018</v>
      </c>
      <c r="O393" s="100">
        <v>41018</v>
      </c>
    </row>
    <row r="394" spans="1:15" ht="14.25">
      <c r="A394" s="97">
        <v>2012</v>
      </c>
      <c r="B394" s="98" t="s">
        <v>198</v>
      </c>
      <c r="C394" s="98" t="s">
        <v>199</v>
      </c>
      <c r="D394" s="99">
        <v>223000</v>
      </c>
      <c r="E394" s="99">
        <v>0</v>
      </c>
      <c r="F394" s="99"/>
      <c r="G394" s="99">
        <v>41</v>
      </c>
      <c r="H394" s="99" t="s">
        <v>145</v>
      </c>
      <c r="I394" s="99" t="s">
        <v>212</v>
      </c>
      <c r="J394" s="99" t="s">
        <v>73</v>
      </c>
      <c r="K394" s="99" t="b">
        <v>0</v>
      </c>
      <c r="L394" s="95">
        <v>2019</v>
      </c>
      <c r="M394" s="96">
        <v>0.1561</v>
      </c>
      <c r="N394" s="100">
        <v>41018</v>
      </c>
      <c r="O394" s="100">
        <v>41018</v>
      </c>
    </row>
    <row r="395" spans="1:15" ht="14.25">
      <c r="A395" s="97">
        <v>2012</v>
      </c>
      <c r="B395" s="98" t="s">
        <v>198</v>
      </c>
      <c r="C395" s="98" t="s">
        <v>199</v>
      </c>
      <c r="D395" s="99">
        <v>223000</v>
      </c>
      <c r="E395" s="99">
        <v>0</v>
      </c>
      <c r="F395" s="99"/>
      <c r="G395" s="99">
        <v>42</v>
      </c>
      <c r="H395" s="99">
        <v>19</v>
      </c>
      <c r="I395" s="99" t="s">
        <v>207</v>
      </c>
      <c r="J395" s="99" t="s">
        <v>74</v>
      </c>
      <c r="K395" s="99" t="b">
        <v>1</v>
      </c>
      <c r="L395" s="95">
        <v>2020</v>
      </c>
      <c r="M395" s="96">
        <v>0.039</v>
      </c>
      <c r="N395" s="100">
        <v>41018</v>
      </c>
      <c r="O395" s="100">
        <v>41018</v>
      </c>
    </row>
    <row r="396" spans="1:15" ht="14.25">
      <c r="A396" s="97">
        <v>2012</v>
      </c>
      <c r="B396" s="98" t="s">
        <v>198</v>
      </c>
      <c r="C396" s="98" t="s">
        <v>199</v>
      </c>
      <c r="D396" s="99">
        <v>223000</v>
      </c>
      <c r="E396" s="99">
        <v>0</v>
      </c>
      <c r="F396" s="99"/>
      <c r="G396" s="99">
        <v>2</v>
      </c>
      <c r="H396" s="99" t="s">
        <v>96</v>
      </c>
      <c r="I396" s="99"/>
      <c r="J396" s="99" t="s">
        <v>97</v>
      </c>
      <c r="K396" s="99" t="b">
        <v>1</v>
      </c>
      <c r="L396" s="95">
        <v>2020</v>
      </c>
      <c r="M396" s="96">
        <v>79620681</v>
      </c>
      <c r="N396" s="100">
        <v>41018</v>
      </c>
      <c r="O396" s="100">
        <v>41018</v>
      </c>
    </row>
    <row r="397" spans="1:15" ht="14.25">
      <c r="A397" s="97">
        <v>2012</v>
      </c>
      <c r="B397" s="98" t="s">
        <v>198</v>
      </c>
      <c r="C397" s="98" t="s">
        <v>199</v>
      </c>
      <c r="D397" s="99">
        <v>223000</v>
      </c>
      <c r="E397" s="99">
        <v>0</v>
      </c>
      <c r="F397" s="99"/>
      <c r="G397" s="99">
        <v>14</v>
      </c>
      <c r="H397" s="99">
        <v>3</v>
      </c>
      <c r="I397" s="99" t="s">
        <v>217</v>
      </c>
      <c r="J397" s="99" t="s">
        <v>118</v>
      </c>
      <c r="K397" s="99" t="b">
        <v>1</v>
      </c>
      <c r="L397" s="95">
        <v>2018</v>
      </c>
      <c r="M397" s="96">
        <v>4589394</v>
      </c>
      <c r="N397" s="100">
        <v>41018</v>
      </c>
      <c r="O397" s="100">
        <v>41018</v>
      </c>
    </row>
    <row r="398" spans="1:15" ht="14.25">
      <c r="A398" s="97">
        <v>2012</v>
      </c>
      <c r="B398" s="98" t="s">
        <v>198</v>
      </c>
      <c r="C398" s="98" t="s">
        <v>199</v>
      </c>
      <c r="D398" s="99">
        <v>223000</v>
      </c>
      <c r="E398" s="99">
        <v>0</v>
      </c>
      <c r="F398" s="99"/>
      <c r="G398" s="99">
        <v>1</v>
      </c>
      <c r="H398" s="99">
        <v>1</v>
      </c>
      <c r="I398" s="99" t="s">
        <v>206</v>
      </c>
      <c r="J398" s="99" t="s">
        <v>95</v>
      </c>
      <c r="K398" s="99" t="b">
        <v>1</v>
      </c>
      <c r="L398" s="95">
        <v>2016</v>
      </c>
      <c r="M398" s="96">
        <v>77516470</v>
      </c>
      <c r="N398" s="100">
        <v>41018</v>
      </c>
      <c r="O398" s="100">
        <v>41018</v>
      </c>
    </row>
    <row r="399" spans="1:15" ht="14.25">
      <c r="A399" s="97">
        <v>2012</v>
      </c>
      <c r="B399" s="98" t="s">
        <v>198</v>
      </c>
      <c r="C399" s="98" t="s">
        <v>199</v>
      </c>
      <c r="D399" s="99">
        <v>223000</v>
      </c>
      <c r="E399" s="99">
        <v>0</v>
      </c>
      <c r="F399" s="99"/>
      <c r="G399" s="99">
        <v>1</v>
      </c>
      <c r="H399" s="99">
        <v>1</v>
      </c>
      <c r="I399" s="99" t="s">
        <v>206</v>
      </c>
      <c r="J399" s="99" t="s">
        <v>95</v>
      </c>
      <c r="K399" s="99" t="b">
        <v>1</v>
      </c>
      <c r="L399" s="95">
        <v>2017</v>
      </c>
      <c r="M399" s="96">
        <v>78455313</v>
      </c>
      <c r="N399" s="100">
        <v>41018</v>
      </c>
      <c r="O399" s="100">
        <v>41018</v>
      </c>
    </row>
    <row r="400" spans="1:15" ht="14.25">
      <c r="A400" s="97">
        <v>2012</v>
      </c>
      <c r="B400" s="98" t="s">
        <v>198</v>
      </c>
      <c r="C400" s="98" t="s">
        <v>199</v>
      </c>
      <c r="D400" s="99">
        <v>223000</v>
      </c>
      <c r="E400" s="99">
        <v>0</v>
      </c>
      <c r="F400" s="99"/>
      <c r="G400" s="99">
        <v>55</v>
      </c>
      <c r="H400" s="99">
        <v>28</v>
      </c>
      <c r="I400" s="99" t="s">
        <v>218</v>
      </c>
      <c r="J400" s="99" t="s">
        <v>48</v>
      </c>
      <c r="K400" s="99" t="b">
        <v>0</v>
      </c>
      <c r="L400" s="95">
        <v>2012</v>
      </c>
      <c r="M400" s="96">
        <v>-11120800</v>
      </c>
      <c r="N400" s="100">
        <v>41018</v>
      </c>
      <c r="O400" s="100">
        <v>41018</v>
      </c>
    </row>
    <row r="401" spans="1:15" ht="14.25">
      <c r="A401" s="97">
        <v>2012</v>
      </c>
      <c r="B401" s="98" t="s">
        <v>198</v>
      </c>
      <c r="C401" s="98" t="s">
        <v>199</v>
      </c>
      <c r="D401" s="99">
        <v>223000</v>
      </c>
      <c r="E401" s="99">
        <v>0</v>
      </c>
      <c r="F401" s="99"/>
      <c r="G401" s="99">
        <v>34</v>
      </c>
      <c r="H401" s="99" t="s">
        <v>139</v>
      </c>
      <c r="I401" s="99"/>
      <c r="J401" s="99" t="s">
        <v>140</v>
      </c>
      <c r="K401" s="99" t="b">
        <v>1</v>
      </c>
      <c r="L401" s="95">
        <v>2014</v>
      </c>
      <c r="M401" s="96">
        <v>3000000</v>
      </c>
      <c r="N401" s="100">
        <v>41018</v>
      </c>
      <c r="O401" s="100">
        <v>41018</v>
      </c>
    </row>
    <row r="402" spans="1:15" ht="14.25">
      <c r="A402" s="97">
        <v>2012</v>
      </c>
      <c r="B402" s="98" t="s">
        <v>198</v>
      </c>
      <c r="C402" s="98" t="s">
        <v>199</v>
      </c>
      <c r="D402" s="99">
        <v>223000</v>
      </c>
      <c r="E402" s="99">
        <v>0</v>
      </c>
      <c r="F402" s="99"/>
      <c r="G402" s="99">
        <v>53</v>
      </c>
      <c r="H402" s="99">
        <v>26</v>
      </c>
      <c r="I402" s="99" t="s">
        <v>220</v>
      </c>
      <c r="J402" s="99" t="s">
        <v>153</v>
      </c>
      <c r="K402" s="99" t="b">
        <v>1</v>
      </c>
      <c r="L402" s="95">
        <v>2023</v>
      </c>
      <c r="M402" s="96">
        <v>83279531</v>
      </c>
      <c r="N402" s="100">
        <v>41018</v>
      </c>
      <c r="O402" s="100">
        <v>41018</v>
      </c>
    </row>
    <row r="403" spans="1:15" ht="14.25">
      <c r="A403" s="97">
        <v>2012</v>
      </c>
      <c r="B403" s="98" t="s">
        <v>198</v>
      </c>
      <c r="C403" s="98" t="s">
        <v>199</v>
      </c>
      <c r="D403" s="99">
        <v>223000</v>
      </c>
      <c r="E403" s="99">
        <v>0</v>
      </c>
      <c r="F403" s="99"/>
      <c r="G403" s="99">
        <v>52</v>
      </c>
      <c r="H403" s="99">
        <v>25</v>
      </c>
      <c r="I403" s="99" t="s">
        <v>216</v>
      </c>
      <c r="J403" s="99" t="s">
        <v>49</v>
      </c>
      <c r="K403" s="99" t="b">
        <v>1</v>
      </c>
      <c r="L403" s="95">
        <v>2024</v>
      </c>
      <c r="M403" s="96">
        <v>1654460</v>
      </c>
      <c r="N403" s="100">
        <v>41018</v>
      </c>
      <c r="O403" s="100">
        <v>41018</v>
      </c>
    </row>
    <row r="404" spans="1:15" ht="14.25">
      <c r="A404" s="97">
        <v>2012</v>
      </c>
      <c r="B404" s="98" t="s">
        <v>198</v>
      </c>
      <c r="C404" s="98" t="s">
        <v>199</v>
      </c>
      <c r="D404" s="99">
        <v>223000</v>
      </c>
      <c r="E404" s="99">
        <v>0</v>
      </c>
      <c r="F404" s="99"/>
      <c r="G404" s="99">
        <v>19</v>
      </c>
      <c r="H404" s="99">
        <v>6</v>
      </c>
      <c r="I404" s="99" t="s">
        <v>211</v>
      </c>
      <c r="J404" s="99" t="s">
        <v>123</v>
      </c>
      <c r="K404" s="99" t="b">
        <v>0</v>
      </c>
      <c r="L404" s="95">
        <v>2026</v>
      </c>
      <c r="M404" s="96">
        <v>1178281</v>
      </c>
      <c r="N404" s="100">
        <v>41018</v>
      </c>
      <c r="O404" s="100">
        <v>41018</v>
      </c>
    </row>
    <row r="405" spans="1:15" ht="14.25">
      <c r="A405" s="97">
        <v>2012</v>
      </c>
      <c r="B405" s="98" t="s">
        <v>198</v>
      </c>
      <c r="C405" s="98" t="s">
        <v>199</v>
      </c>
      <c r="D405" s="99">
        <v>223000</v>
      </c>
      <c r="E405" s="99">
        <v>0</v>
      </c>
      <c r="F405" s="99"/>
      <c r="G405" s="99">
        <v>57</v>
      </c>
      <c r="H405" s="99">
        <v>30</v>
      </c>
      <c r="I405" s="99" t="s">
        <v>201</v>
      </c>
      <c r="J405" s="99" t="s">
        <v>155</v>
      </c>
      <c r="K405" s="99" t="b">
        <v>0</v>
      </c>
      <c r="L405" s="95">
        <v>2025</v>
      </c>
      <c r="M405" s="96">
        <v>500000</v>
      </c>
      <c r="N405" s="100">
        <v>41018</v>
      </c>
      <c r="O405" s="100">
        <v>41018</v>
      </c>
    </row>
    <row r="406" spans="1:15" ht="14.25">
      <c r="A406" s="97">
        <v>2012</v>
      </c>
      <c r="B406" s="98" t="s">
        <v>198</v>
      </c>
      <c r="C406" s="98" t="s">
        <v>199</v>
      </c>
      <c r="D406" s="99">
        <v>223000</v>
      </c>
      <c r="E406" s="99">
        <v>0</v>
      </c>
      <c r="F406" s="99"/>
      <c r="G406" s="99">
        <v>21</v>
      </c>
      <c r="H406" s="99" t="s">
        <v>124</v>
      </c>
      <c r="I406" s="99"/>
      <c r="J406" s="99" t="s">
        <v>125</v>
      </c>
      <c r="K406" s="99" t="b">
        <v>1</v>
      </c>
      <c r="L406" s="95">
        <v>2025</v>
      </c>
      <c r="M406" s="96">
        <v>500000</v>
      </c>
      <c r="N406" s="100">
        <v>41018</v>
      </c>
      <c r="O406" s="100">
        <v>41018</v>
      </c>
    </row>
    <row r="407" spans="1:15" ht="14.25">
      <c r="A407" s="97">
        <v>2012</v>
      </c>
      <c r="B407" s="98" t="s">
        <v>198</v>
      </c>
      <c r="C407" s="98" t="s">
        <v>199</v>
      </c>
      <c r="D407" s="99">
        <v>223000</v>
      </c>
      <c r="E407" s="99">
        <v>0</v>
      </c>
      <c r="F407" s="99"/>
      <c r="G407" s="99">
        <v>20</v>
      </c>
      <c r="H407" s="99">
        <v>7</v>
      </c>
      <c r="I407" s="99" t="s">
        <v>205</v>
      </c>
      <c r="J407" s="99" t="s">
        <v>12</v>
      </c>
      <c r="K407" s="99" t="b">
        <v>1</v>
      </c>
      <c r="L407" s="95">
        <v>2023</v>
      </c>
      <c r="M407" s="96">
        <v>2393087</v>
      </c>
      <c r="N407" s="100">
        <v>41018</v>
      </c>
      <c r="O407" s="100">
        <v>41018</v>
      </c>
    </row>
    <row r="408" spans="1:15" ht="14.25">
      <c r="A408" s="97">
        <v>2012</v>
      </c>
      <c r="B408" s="98" t="s">
        <v>198</v>
      </c>
      <c r="C408" s="98" t="s">
        <v>199</v>
      </c>
      <c r="D408" s="99">
        <v>223000</v>
      </c>
      <c r="E408" s="99">
        <v>0</v>
      </c>
      <c r="F408" s="99"/>
      <c r="G408" s="99">
        <v>7</v>
      </c>
      <c r="H408" s="99">
        <v>2</v>
      </c>
      <c r="I408" s="99"/>
      <c r="J408" s="99" t="s">
        <v>3</v>
      </c>
      <c r="K408" s="99" t="b">
        <v>1</v>
      </c>
      <c r="L408" s="95">
        <v>2021</v>
      </c>
      <c r="M408" s="96">
        <v>78055204</v>
      </c>
      <c r="N408" s="100">
        <v>41018</v>
      </c>
      <c r="O408" s="100">
        <v>41018</v>
      </c>
    </row>
    <row r="409" spans="1:15" ht="14.25">
      <c r="A409" s="97">
        <v>2012</v>
      </c>
      <c r="B409" s="98" t="s">
        <v>198</v>
      </c>
      <c r="C409" s="98" t="s">
        <v>199</v>
      </c>
      <c r="D409" s="99">
        <v>223000</v>
      </c>
      <c r="E409" s="99">
        <v>0</v>
      </c>
      <c r="F409" s="99"/>
      <c r="G409" s="99">
        <v>43</v>
      </c>
      <c r="H409" s="99" t="s">
        <v>146</v>
      </c>
      <c r="I409" s="99" t="s">
        <v>208</v>
      </c>
      <c r="J409" s="99" t="s">
        <v>76</v>
      </c>
      <c r="K409" s="99" t="b">
        <v>0</v>
      </c>
      <c r="L409" s="95">
        <v>2016</v>
      </c>
      <c r="M409" s="96">
        <v>0.0479</v>
      </c>
      <c r="N409" s="100">
        <v>41018</v>
      </c>
      <c r="O409" s="100">
        <v>41018</v>
      </c>
    </row>
    <row r="410" spans="1:15" ht="14.25">
      <c r="A410" s="97">
        <v>2012</v>
      </c>
      <c r="B410" s="98" t="s">
        <v>198</v>
      </c>
      <c r="C410" s="98" t="s">
        <v>199</v>
      </c>
      <c r="D410" s="99">
        <v>223000</v>
      </c>
      <c r="E410" s="99">
        <v>0</v>
      </c>
      <c r="F410" s="99"/>
      <c r="G410" s="99">
        <v>8</v>
      </c>
      <c r="H410" s="99" t="s">
        <v>106</v>
      </c>
      <c r="I410" s="99"/>
      <c r="J410" s="99" t="s">
        <v>107</v>
      </c>
      <c r="K410" s="99" t="b">
        <v>0</v>
      </c>
      <c r="L410" s="95">
        <v>2014</v>
      </c>
      <c r="M410" s="96">
        <v>29500000</v>
      </c>
      <c r="N410" s="100">
        <v>41018</v>
      </c>
      <c r="O410" s="100">
        <v>41018</v>
      </c>
    </row>
    <row r="411" spans="1:15" ht="14.25">
      <c r="A411" s="97">
        <v>2012</v>
      </c>
      <c r="B411" s="98" t="s">
        <v>198</v>
      </c>
      <c r="C411" s="98" t="s">
        <v>199</v>
      </c>
      <c r="D411" s="99">
        <v>223000</v>
      </c>
      <c r="E411" s="99">
        <v>0</v>
      </c>
      <c r="F411" s="99"/>
      <c r="G411" s="99">
        <v>1</v>
      </c>
      <c r="H411" s="99">
        <v>1</v>
      </c>
      <c r="I411" s="99" t="s">
        <v>206</v>
      </c>
      <c r="J411" s="99" t="s">
        <v>95</v>
      </c>
      <c r="K411" s="99" t="b">
        <v>1</v>
      </c>
      <c r="L411" s="95">
        <v>2012</v>
      </c>
      <c r="M411" s="96">
        <v>88681084</v>
      </c>
      <c r="N411" s="100">
        <v>41018</v>
      </c>
      <c r="O411" s="100">
        <v>41018</v>
      </c>
    </row>
    <row r="412" spans="1:15" ht="14.25">
      <c r="A412" s="97">
        <v>2012</v>
      </c>
      <c r="B412" s="98" t="s">
        <v>198</v>
      </c>
      <c r="C412" s="98" t="s">
        <v>199</v>
      </c>
      <c r="D412" s="99">
        <v>223000</v>
      </c>
      <c r="E412" s="99">
        <v>0</v>
      </c>
      <c r="F412" s="99"/>
      <c r="G412" s="99">
        <v>42</v>
      </c>
      <c r="H412" s="99">
        <v>19</v>
      </c>
      <c r="I412" s="99" t="s">
        <v>207</v>
      </c>
      <c r="J412" s="99" t="s">
        <v>74</v>
      </c>
      <c r="K412" s="99" t="b">
        <v>1</v>
      </c>
      <c r="L412" s="95">
        <v>2018</v>
      </c>
      <c r="M412" s="96">
        <v>0.0432</v>
      </c>
      <c r="N412" s="100">
        <v>41018</v>
      </c>
      <c r="O412" s="100">
        <v>41018</v>
      </c>
    </row>
    <row r="413" spans="1:15" ht="14.25">
      <c r="A413" s="97">
        <v>2012</v>
      </c>
      <c r="B413" s="98" t="s">
        <v>198</v>
      </c>
      <c r="C413" s="98" t="s">
        <v>199</v>
      </c>
      <c r="D413" s="99">
        <v>223000</v>
      </c>
      <c r="E413" s="99">
        <v>0</v>
      </c>
      <c r="F413" s="99"/>
      <c r="G413" s="99">
        <v>49</v>
      </c>
      <c r="H413" s="99" t="s">
        <v>150</v>
      </c>
      <c r="I413" s="99" t="s">
        <v>204</v>
      </c>
      <c r="J413" s="99" t="s">
        <v>81</v>
      </c>
      <c r="K413" s="99" t="b">
        <v>0</v>
      </c>
      <c r="L413" s="95">
        <v>2018</v>
      </c>
      <c r="M413" s="96">
        <v>217</v>
      </c>
      <c r="N413" s="100">
        <v>41018</v>
      </c>
      <c r="O413" s="100">
        <v>41018</v>
      </c>
    </row>
    <row r="414" spans="1:15" ht="14.25">
      <c r="A414" s="97">
        <v>2012</v>
      </c>
      <c r="B414" s="98" t="s">
        <v>198</v>
      </c>
      <c r="C414" s="98" t="s">
        <v>199</v>
      </c>
      <c r="D414" s="99">
        <v>223000</v>
      </c>
      <c r="E414" s="99">
        <v>0</v>
      </c>
      <c r="F414" s="99"/>
      <c r="G414" s="99">
        <v>8</v>
      </c>
      <c r="H414" s="99" t="s">
        <v>106</v>
      </c>
      <c r="I414" s="99"/>
      <c r="J414" s="99" t="s">
        <v>107</v>
      </c>
      <c r="K414" s="99" t="b">
        <v>0</v>
      </c>
      <c r="L414" s="95">
        <v>2019</v>
      </c>
      <c r="M414" s="96">
        <v>32400000</v>
      </c>
      <c r="N414" s="100">
        <v>41018</v>
      </c>
      <c r="O414" s="100">
        <v>41018</v>
      </c>
    </row>
    <row r="415" spans="1:15" ht="14.25">
      <c r="A415" s="97">
        <v>2012</v>
      </c>
      <c r="B415" s="98" t="s">
        <v>198</v>
      </c>
      <c r="C415" s="98" t="s">
        <v>199</v>
      </c>
      <c r="D415" s="99">
        <v>223000</v>
      </c>
      <c r="E415" s="99">
        <v>0</v>
      </c>
      <c r="F415" s="99"/>
      <c r="G415" s="99">
        <v>26</v>
      </c>
      <c r="H415" s="99">
        <v>9</v>
      </c>
      <c r="I415" s="99" t="s">
        <v>221</v>
      </c>
      <c r="J415" s="99" t="s">
        <v>133</v>
      </c>
      <c r="K415" s="99" t="b">
        <v>0</v>
      </c>
      <c r="L415" s="95">
        <v>2019</v>
      </c>
      <c r="M415" s="96">
        <v>660000</v>
      </c>
      <c r="N415" s="100">
        <v>41018</v>
      </c>
      <c r="O415" s="100">
        <v>41018</v>
      </c>
    </row>
    <row r="416" spans="1:15" ht="14.25">
      <c r="A416" s="97">
        <v>2012</v>
      </c>
      <c r="B416" s="98" t="s">
        <v>198</v>
      </c>
      <c r="C416" s="98" t="s">
        <v>199</v>
      </c>
      <c r="D416" s="99">
        <v>223000</v>
      </c>
      <c r="E416" s="99">
        <v>0</v>
      </c>
      <c r="F416" s="99"/>
      <c r="G416" s="99">
        <v>14</v>
      </c>
      <c r="H416" s="99">
        <v>3</v>
      </c>
      <c r="I416" s="99" t="s">
        <v>217</v>
      </c>
      <c r="J416" s="99" t="s">
        <v>118</v>
      </c>
      <c r="K416" s="99" t="b">
        <v>1</v>
      </c>
      <c r="L416" s="95">
        <v>2020</v>
      </c>
      <c r="M416" s="96">
        <v>3807591</v>
      </c>
      <c r="N416" s="100">
        <v>41018</v>
      </c>
      <c r="O416" s="100">
        <v>41018</v>
      </c>
    </row>
    <row r="417" spans="1:15" ht="14.25">
      <c r="A417" s="97">
        <v>2012</v>
      </c>
      <c r="B417" s="98" t="s">
        <v>198</v>
      </c>
      <c r="C417" s="98" t="s">
        <v>199</v>
      </c>
      <c r="D417" s="99">
        <v>223000</v>
      </c>
      <c r="E417" s="99">
        <v>0</v>
      </c>
      <c r="F417" s="99"/>
      <c r="G417" s="99">
        <v>51</v>
      </c>
      <c r="H417" s="99">
        <v>24</v>
      </c>
      <c r="I417" s="99" t="s">
        <v>203</v>
      </c>
      <c r="J417" s="99" t="s">
        <v>152</v>
      </c>
      <c r="K417" s="99" t="b">
        <v>1</v>
      </c>
      <c r="L417" s="95">
        <v>2021</v>
      </c>
      <c r="M417" s="96">
        <v>78560017</v>
      </c>
      <c r="N417" s="100">
        <v>41018</v>
      </c>
      <c r="O417" s="100">
        <v>41018</v>
      </c>
    </row>
    <row r="418" spans="1:15" ht="14.25">
      <c r="A418" s="97">
        <v>2012</v>
      </c>
      <c r="B418" s="98" t="s">
        <v>198</v>
      </c>
      <c r="C418" s="98" t="s">
        <v>199</v>
      </c>
      <c r="D418" s="99">
        <v>223000</v>
      </c>
      <c r="E418" s="99">
        <v>0</v>
      </c>
      <c r="F418" s="99"/>
      <c r="G418" s="99">
        <v>44</v>
      </c>
      <c r="H418" s="99">
        <v>20</v>
      </c>
      <c r="I418" s="99" t="s">
        <v>202</v>
      </c>
      <c r="J418" s="99" t="s">
        <v>147</v>
      </c>
      <c r="K418" s="99" t="b">
        <v>1</v>
      </c>
      <c r="L418" s="95">
        <v>2022</v>
      </c>
      <c r="M418" s="96">
        <v>0.0342</v>
      </c>
      <c r="N418" s="100">
        <v>41018</v>
      </c>
      <c r="O418" s="100">
        <v>41018</v>
      </c>
    </row>
    <row r="419" spans="1:15" ht="14.25">
      <c r="A419" s="97">
        <v>2012</v>
      </c>
      <c r="B419" s="98" t="s">
        <v>198</v>
      </c>
      <c r="C419" s="98" t="s">
        <v>199</v>
      </c>
      <c r="D419" s="99">
        <v>223000</v>
      </c>
      <c r="E419" s="99">
        <v>0</v>
      </c>
      <c r="F419" s="99"/>
      <c r="G419" s="99">
        <v>54</v>
      </c>
      <c r="H419" s="99">
        <v>27</v>
      </c>
      <c r="I419" s="99" t="s">
        <v>200</v>
      </c>
      <c r="J419" s="99" t="s">
        <v>46</v>
      </c>
      <c r="K419" s="99" t="b">
        <v>0</v>
      </c>
      <c r="L419" s="95">
        <v>2013</v>
      </c>
      <c r="M419" s="96">
        <v>85954588</v>
      </c>
      <c r="N419" s="100">
        <v>41018</v>
      </c>
      <c r="O419" s="100">
        <v>41018</v>
      </c>
    </row>
    <row r="420" spans="1:15" ht="14.25">
      <c r="A420" s="97">
        <v>2012</v>
      </c>
      <c r="B420" s="98" t="s">
        <v>198</v>
      </c>
      <c r="C420" s="98" t="s">
        <v>199</v>
      </c>
      <c r="D420" s="99">
        <v>223000</v>
      </c>
      <c r="E420" s="99">
        <v>0</v>
      </c>
      <c r="F420" s="99"/>
      <c r="G420" s="99">
        <v>4</v>
      </c>
      <c r="H420" s="99" t="s">
        <v>100</v>
      </c>
      <c r="I420" s="99"/>
      <c r="J420" s="99" t="s">
        <v>101</v>
      </c>
      <c r="K420" s="99" t="b">
        <v>1</v>
      </c>
      <c r="L420" s="95">
        <v>2022</v>
      </c>
      <c r="M420" s="96">
        <v>1160000</v>
      </c>
      <c r="N420" s="100">
        <v>41018</v>
      </c>
      <c r="O420" s="100">
        <v>41018</v>
      </c>
    </row>
    <row r="421" spans="1:15" ht="14.25">
      <c r="A421" s="97">
        <v>2012</v>
      </c>
      <c r="B421" s="98" t="s">
        <v>198</v>
      </c>
      <c r="C421" s="98" t="s">
        <v>199</v>
      </c>
      <c r="D421" s="99">
        <v>223000</v>
      </c>
      <c r="E421" s="99">
        <v>0</v>
      </c>
      <c r="F421" s="99"/>
      <c r="G421" s="99">
        <v>43</v>
      </c>
      <c r="H421" s="99" t="s">
        <v>146</v>
      </c>
      <c r="I421" s="99" t="s">
        <v>208</v>
      </c>
      <c r="J421" s="99" t="s">
        <v>76</v>
      </c>
      <c r="K421" s="99" t="b">
        <v>0</v>
      </c>
      <c r="L421" s="95">
        <v>2026</v>
      </c>
      <c r="M421" s="96">
        <v>0.006</v>
      </c>
      <c r="N421" s="100">
        <v>41018</v>
      </c>
      <c r="O421" s="100">
        <v>41018</v>
      </c>
    </row>
    <row r="422" spans="1:15" ht="14.25">
      <c r="A422" s="97">
        <v>2012</v>
      </c>
      <c r="B422" s="98" t="s">
        <v>198</v>
      </c>
      <c r="C422" s="98" t="s">
        <v>199</v>
      </c>
      <c r="D422" s="99">
        <v>223000</v>
      </c>
      <c r="E422" s="99">
        <v>0</v>
      </c>
      <c r="F422" s="99"/>
      <c r="G422" s="99">
        <v>54</v>
      </c>
      <c r="H422" s="99">
        <v>27</v>
      </c>
      <c r="I422" s="99" t="s">
        <v>200</v>
      </c>
      <c r="J422" s="99" t="s">
        <v>46</v>
      </c>
      <c r="K422" s="99" t="b">
        <v>0</v>
      </c>
      <c r="L422" s="95">
        <v>2019</v>
      </c>
      <c r="M422" s="96">
        <v>77339242</v>
      </c>
      <c r="N422" s="100">
        <v>41018</v>
      </c>
      <c r="O422" s="100">
        <v>41018</v>
      </c>
    </row>
    <row r="423" spans="1:15" ht="14.25">
      <c r="A423" s="97">
        <v>2012</v>
      </c>
      <c r="B423" s="98" t="s">
        <v>198</v>
      </c>
      <c r="C423" s="98" t="s">
        <v>199</v>
      </c>
      <c r="D423" s="99">
        <v>223000</v>
      </c>
      <c r="E423" s="99">
        <v>0</v>
      </c>
      <c r="F423" s="99"/>
      <c r="G423" s="99">
        <v>44</v>
      </c>
      <c r="H423" s="99">
        <v>20</v>
      </c>
      <c r="I423" s="99" t="s">
        <v>202</v>
      </c>
      <c r="J423" s="99" t="s">
        <v>147</v>
      </c>
      <c r="K423" s="99" t="b">
        <v>1</v>
      </c>
      <c r="L423" s="95">
        <v>2012</v>
      </c>
      <c r="M423" s="96">
        <v>0.1294</v>
      </c>
      <c r="N423" s="100">
        <v>41018</v>
      </c>
      <c r="O423" s="100">
        <v>41018</v>
      </c>
    </row>
    <row r="424" spans="1:15" ht="14.25">
      <c r="A424" s="97">
        <v>2012</v>
      </c>
      <c r="B424" s="98" t="s">
        <v>198</v>
      </c>
      <c r="C424" s="98" t="s">
        <v>199</v>
      </c>
      <c r="D424" s="99">
        <v>223000</v>
      </c>
      <c r="E424" s="99">
        <v>0</v>
      </c>
      <c r="F424" s="99"/>
      <c r="G424" s="99">
        <v>51</v>
      </c>
      <c r="H424" s="99">
        <v>24</v>
      </c>
      <c r="I424" s="99" t="s">
        <v>203</v>
      </c>
      <c r="J424" s="99" t="s">
        <v>152</v>
      </c>
      <c r="K424" s="99" t="b">
        <v>1</v>
      </c>
      <c r="L424" s="95">
        <v>2025</v>
      </c>
      <c r="M424" s="96">
        <v>84000000</v>
      </c>
      <c r="N424" s="100">
        <v>41018</v>
      </c>
      <c r="O424" s="100">
        <v>41018</v>
      </c>
    </row>
    <row r="425" spans="1:15" ht="14.25">
      <c r="A425" s="97">
        <v>2012</v>
      </c>
      <c r="B425" s="98" t="s">
        <v>198</v>
      </c>
      <c r="C425" s="98" t="s">
        <v>199</v>
      </c>
      <c r="D425" s="99">
        <v>223000</v>
      </c>
      <c r="E425" s="99">
        <v>0</v>
      </c>
      <c r="F425" s="99"/>
      <c r="G425" s="99">
        <v>50</v>
      </c>
      <c r="H425" s="99">
        <v>23</v>
      </c>
      <c r="I425" s="99" t="s">
        <v>215</v>
      </c>
      <c r="J425" s="99" t="s">
        <v>151</v>
      </c>
      <c r="K425" s="99" t="b">
        <v>1</v>
      </c>
      <c r="L425" s="95">
        <v>2019</v>
      </c>
      <c r="M425" s="96">
        <v>78680975</v>
      </c>
      <c r="N425" s="100">
        <v>41018</v>
      </c>
      <c r="O425" s="100">
        <v>41018</v>
      </c>
    </row>
    <row r="426" spans="1:15" ht="14.25">
      <c r="A426" s="97">
        <v>2012</v>
      </c>
      <c r="B426" s="98" t="s">
        <v>198</v>
      </c>
      <c r="C426" s="98" t="s">
        <v>199</v>
      </c>
      <c r="D426" s="99">
        <v>223000</v>
      </c>
      <c r="E426" s="99">
        <v>0</v>
      </c>
      <c r="F426" s="99"/>
      <c r="G426" s="99">
        <v>24</v>
      </c>
      <c r="H426" s="99" t="s">
        <v>130</v>
      </c>
      <c r="I426" s="99"/>
      <c r="J426" s="99" t="s">
        <v>131</v>
      </c>
      <c r="K426" s="99" t="b">
        <v>1</v>
      </c>
      <c r="L426" s="95">
        <v>2015</v>
      </c>
      <c r="M426" s="96">
        <v>1350501</v>
      </c>
      <c r="N426" s="100">
        <v>41018</v>
      </c>
      <c r="O426" s="100">
        <v>41018</v>
      </c>
    </row>
    <row r="427" spans="1:15" ht="14.25">
      <c r="A427" s="97">
        <v>2012</v>
      </c>
      <c r="B427" s="98" t="s">
        <v>198</v>
      </c>
      <c r="C427" s="98" t="s">
        <v>199</v>
      </c>
      <c r="D427" s="99">
        <v>223000</v>
      </c>
      <c r="E427" s="99">
        <v>0</v>
      </c>
      <c r="F427" s="99"/>
      <c r="G427" s="99">
        <v>9</v>
      </c>
      <c r="H427" s="99" t="s">
        <v>108</v>
      </c>
      <c r="I427" s="99"/>
      <c r="J427" s="99" t="s">
        <v>109</v>
      </c>
      <c r="K427" s="99" t="b">
        <v>0</v>
      </c>
      <c r="L427" s="95">
        <v>2022</v>
      </c>
      <c r="M427" s="96">
        <v>12600000</v>
      </c>
      <c r="N427" s="100">
        <v>41018</v>
      </c>
      <c r="O427" s="100">
        <v>41018</v>
      </c>
    </row>
    <row r="428" spans="1:15" ht="14.25">
      <c r="A428" s="97">
        <v>2012</v>
      </c>
      <c r="B428" s="98" t="s">
        <v>198</v>
      </c>
      <c r="C428" s="98" t="s">
        <v>199</v>
      </c>
      <c r="D428" s="99">
        <v>223000</v>
      </c>
      <c r="E428" s="99">
        <v>0</v>
      </c>
      <c r="F428" s="99"/>
      <c r="G428" s="99">
        <v>21</v>
      </c>
      <c r="H428" s="99" t="s">
        <v>124</v>
      </c>
      <c r="I428" s="99"/>
      <c r="J428" s="99" t="s">
        <v>125</v>
      </c>
      <c r="K428" s="99" t="b">
        <v>1</v>
      </c>
      <c r="L428" s="95">
        <v>2018</v>
      </c>
      <c r="M428" s="96">
        <v>2501733</v>
      </c>
      <c r="N428" s="100">
        <v>41018</v>
      </c>
      <c r="O428" s="100">
        <v>41018</v>
      </c>
    </row>
    <row r="429" spans="1:15" ht="14.25">
      <c r="A429" s="97">
        <v>2012</v>
      </c>
      <c r="B429" s="98" t="s">
        <v>198</v>
      </c>
      <c r="C429" s="98" t="s">
        <v>199</v>
      </c>
      <c r="D429" s="99">
        <v>223000</v>
      </c>
      <c r="E429" s="99">
        <v>0</v>
      </c>
      <c r="F429" s="99"/>
      <c r="G429" s="99">
        <v>42</v>
      </c>
      <c r="H429" s="99">
        <v>19</v>
      </c>
      <c r="I429" s="99" t="s">
        <v>207</v>
      </c>
      <c r="J429" s="99" t="s">
        <v>74</v>
      </c>
      <c r="K429" s="99" t="b">
        <v>1</v>
      </c>
      <c r="L429" s="95">
        <v>2019</v>
      </c>
      <c r="M429" s="96">
        <v>0.0412</v>
      </c>
      <c r="N429" s="100">
        <v>41018</v>
      </c>
      <c r="O429" s="100">
        <v>41018</v>
      </c>
    </row>
    <row r="430" spans="1:15" ht="14.25">
      <c r="A430" s="97">
        <v>2012</v>
      </c>
      <c r="B430" s="98" t="s">
        <v>198</v>
      </c>
      <c r="C430" s="98" t="s">
        <v>199</v>
      </c>
      <c r="D430" s="99">
        <v>223000</v>
      </c>
      <c r="E430" s="99">
        <v>0</v>
      </c>
      <c r="F430" s="99"/>
      <c r="G430" s="99">
        <v>19</v>
      </c>
      <c r="H430" s="99">
        <v>6</v>
      </c>
      <c r="I430" s="99" t="s">
        <v>211</v>
      </c>
      <c r="J430" s="99" t="s">
        <v>123</v>
      </c>
      <c r="K430" s="99" t="b">
        <v>0</v>
      </c>
      <c r="L430" s="95">
        <v>2012</v>
      </c>
      <c r="M430" s="96">
        <v>22639872</v>
      </c>
      <c r="N430" s="100">
        <v>41018</v>
      </c>
      <c r="O430" s="100">
        <v>41018</v>
      </c>
    </row>
    <row r="431" spans="1:15" ht="14.25">
      <c r="A431" s="97">
        <v>2012</v>
      </c>
      <c r="B431" s="98" t="s">
        <v>198</v>
      </c>
      <c r="C431" s="98" t="s">
        <v>199</v>
      </c>
      <c r="D431" s="99">
        <v>223000</v>
      </c>
      <c r="E431" s="99">
        <v>0</v>
      </c>
      <c r="F431" s="99"/>
      <c r="G431" s="99">
        <v>28</v>
      </c>
      <c r="H431" s="99" t="s">
        <v>134</v>
      </c>
      <c r="I431" s="99"/>
      <c r="J431" s="99" t="s">
        <v>135</v>
      </c>
      <c r="K431" s="99" t="b">
        <v>0</v>
      </c>
      <c r="L431" s="95">
        <v>2015</v>
      </c>
      <c r="M431" s="96">
        <v>5000000</v>
      </c>
      <c r="N431" s="100">
        <v>41018</v>
      </c>
      <c r="O431" s="100">
        <v>41018</v>
      </c>
    </row>
    <row r="432" spans="1:15" ht="14.25">
      <c r="A432" s="97">
        <v>2012</v>
      </c>
      <c r="B432" s="98" t="s">
        <v>198</v>
      </c>
      <c r="C432" s="98" t="s">
        <v>199</v>
      </c>
      <c r="D432" s="99">
        <v>223000</v>
      </c>
      <c r="E432" s="99">
        <v>0</v>
      </c>
      <c r="F432" s="99"/>
      <c r="G432" s="99">
        <v>14</v>
      </c>
      <c r="H432" s="99">
        <v>3</v>
      </c>
      <c r="I432" s="99" t="s">
        <v>217</v>
      </c>
      <c r="J432" s="99" t="s">
        <v>118</v>
      </c>
      <c r="K432" s="99" t="b">
        <v>1</v>
      </c>
      <c r="L432" s="95">
        <v>2015</v>
      </c>
      <c r="M432" s="96">
        <v>9512234</v>
      </c>
      <c r="N432" s="100">
        <v>41018</v>
      </c>
      <c r="O432" s="100">
        <v>41018</v>
      </c>
    </row>
    <row r="433" spans="1:15" ht="14.25">
      <c r="A433" s="97">
        <v>2012</v>
      </c>
      <c r="B433" s="98" t="s">
        <v>198</v>
      </c>
      <c r="C433" s="98" t="s">
        <v>199</v>
      </c>
      <c r="D433" s="99">
        <v>223000</v>
      </c>
      <c r="E433" s="99">
        <v>0</v>
      </c>
      <c r="F433" s="99"/>
      <c r="G433" s="99">
        <v>28</v>
      </c>
      <c r="H433" s="99" t="s">
        <v>134</v>
      </c>
      <c r="I433" s="99"/>
      <c r="J433" s="99" t="s">
        <v>135</v>
      </c>
      <c r="K433" s="99" t="b">
        <v>0</v>
      </c>
      <c r="L433" s="95">
        <v>2013</v>
      </c>
      <c r="M433" s="96">
        <v>13756273</v>
      </c>
      <c r="N433" s="100">
        <v>41018</v>
      </c>
      <c r="O433" s="100">
        <v>41018</v>
      </c>
    </row>
    <row r="434" spans="1:15" ht="14.25">
      <c r="A434" s="97">
        <v>2012</v>
      </c>
      <c r="B434" s="98" t="s">
        <v>198</v>
      </c>
      <c r="C434" s="98" t="s">
        <v>199</v>
      </c>
      <c r="D434" s="99">
        <v>223000</v>
      </c>
      <c r="E434" s="99">
        <v>0</v>
      </c>
      <c r="F434" s="99"/>
      <c r="G434" s="99">
        <v>51</v>
      </c>
      <c r="H434" s="99">
        <v>24</v>
      </c>
      <c r="I434" s="99" t="s">
        <v>203</v>
      </c>
      <c r="J434" s="99" t="s">
        <v>152</v>
      </c>
      <c r="K434" s="99" t="b">
        <v>1</v>
      </c>
      <c r="L434" s="95">
        <v>2024</v>
      </c>
      <c r="M434" s="96">
        <v>81431321</v>
      </c>
      <c r="N434" s="100">
        <v>41018</v>
      </c>
      <c r="O434" s="100">
        <v>41018</v>
      </c>
    </row>
    <row r="435" spans="1:15" ht="14.25">
      <c r="A435" s="97">
        <v>2012</v>
      </c>
      <c r="B435" s="98" t="s">
        <v>198</v>
      </c>
      <c r="C435" s="98" t="s">
        <v>199</v>
      </c>
      <c r="D435" s="99">
        <v>223000</v>
      </c>
      <c r="E435" s="99">
        <v>0</v>
      </c>
      <c r="F435" s="99"/>
      <c r="G435" s="99">
        <v>21</v>
      </c>
      <c r="H435" s="99" t="s">
        <v>124</v>
      </c>
      <c r="I435" s="99"/>
      <c r="J435" s="99" t="s">
        <v>125</v>
      </c>
      <c r="K435" s="99" t="b">
        <v>1</v>
      </c>
      <c r="L435" s="95">
        <v>2026</v>
      </c>
      <c r="M435" s="96">
        <v>500000</v>
      </c>
      <c r="N435" s="100">
        <v>41018</v>
      </c>
      <c r="O435" s="100">
        <v>41018</v>
      </c>
    </row>
    <row r="436" spans="1:15" ht="14.25">
      <c r="A436" s="97">
        <v>2012</v>
      </c>
      <c r="B436" s="98" t="s">
        <v>198</v>
      </c>
      <c r="C436" s="98" t="s">
        <v>199</v>
      </c>
      <c r="D436" s="99">
        <v>223000</v>
      </c>
      <c r="E436" s="99">
        <v>0</v>
      </c>
      <c r="F436" s="99"/>
      <c r="G436" s="99">
        <v>47</v>
      </c>
      <c r="H436" s="99" t="s">
        <v>149</v>
      </c>
      <c r="I436" s="99" t="s">
        <v>209</v>
      </c>
      <c r="J436" s="99" t="s">
        <v>78</v>
      </c>
      <c r="K436" s="99" t="b">
        <v>0</v>
      </c>
      <c r="L436" s="95">
        <v>2017</v>
      </c>
      <c r="M436" s="96">
        <v>758</v>
      </c>
      <c r="N436" s="100">
        <v>41018</v>
      </c>
      <c r="O436" s="100">
        <v>41018</v>
      </c>
    </row>
    <row r="437" spans="1:15" ht="14.25">
      <c r="A437" s="97">
        <v>2012</v>
      </c>
      <c r="B437" s="98" t="s">
        <v>198</v>
      </c>
      <c r="C437" s="98" t="s">
        <v>199</v>
      </c>
      <c r="D437" s="99">
        <v>223000</v>
      </c>
      <c r="E437" s="99">
        <v>0</v>
      </c>
      <c r="F437" s="99"/>
      <c r="G437" s="99">
        <v>37</v>
      </c>
      <c r="H437" s="99">
        <v>16</v>
      </c>
      <c r="I437" s="99"/>
      <c r="J437" s="99" t="s">
        <v>142</v>
      </c>
      <c r="K437" s="99" t="b">
        <v>1</v>
      </c>
      <c r="L437" s="95">
        <v>2020</v>
      </c>
      <c r="M437" s="96">
        <v>2501733</v>
      </c>
      <c r="N437" s="100">
        <v>41018</v>
      </c>
      <c r="O437" s="100">
        <v>41018</v>
      </c>
    </row>
    <row r="438" spans="1:15" ht="14.25">
      <c r="A438" s="97">
        <v>2012</v>
      </c>
      <c r="B438" s="98" t="s">
        <v>198</v>
      </c>
      <c r="C438" s="98" t="s">
        <v>199</v>
      </c>
      <c r="D438" s="99">
        <v>223000</v>
      </c>
      <c r="E438" s="99">
        <v>0</v>
      </c>
      <c r="F438" s="99"/>
      <c r="G438" s="99">
        <v>14</v>
      </c>
      <c r="H438" s="99">
        <v>3</v>
      </c>
      <c r="I438" s="99" t="s">
        <v>217</v>
      </c>
      <c r="J438" s="99" t="s">
        <v>118</v>
      </c>
      <c r="K438" s="99" t="b">
        <v>1</v>
      </c>
      <c r="L438" s="95">
        <v>2017</v>
      </c>
      <c r="M438" s="96">
        <v>4730332</v>
      </c>
      <c r="N438" s="100">
        <v>41018</v>
      </c>
      <c r="O438" s="100">
        <v>41018</v>
      </c>
    </row>
    <row r="439" spans="1:15" ht="14.25">
      <c r="A439" s="97">
        <v>2012</v>
      </c>
      <c r="B439" s="98" t="s">
        <v>198</v>
      </c>
      <c r="C439" s="98" t="s">
        <v>199</v>
      </c>
      <c r="D439" s="99">
        <v>223000</v>
      </c>
      <c r="E439" s="99">
        <v>0</v>
      </c>
      <c r="F439" s="99"/>
      <c r="G439" s="99">
        <v>8</v>
      </c>
      <c r="H439" s="99" t="s">
        <v>106</v>
      </c>
      <c r="I439" s="99"/>
      <c r="J439" s="99" t="s">
        <v>107</v>
      </c>
      <c r="K439" s="99" t="b">
        <v>0</v>
      </c>
      <c r="L439" s="95">
        <v>2012</v>
      </c>
      <c r="M439" s="96">
        <v>28690542</v>
      </c>
      <c r="N439" s="100">
        <v>41018</v>
      </c>
      <c r="O439" s="100">
        <v>41018</v>
      </c>
    </row>
    <row r="440" spans="1:15" ht="14.25">
      <c r="A440" s="97">
        <v>2012</v>
      </c>
      <c r="B440" s="98" t="s">
        <v>198</v>
      </c>
      <c r="C440" s="98" t="s">
        <v>199</v>
      </c>
      <c r="D440" s="99">
        <v>223000</v>
      </c>
      <c r="E440" s="99">
        <v>0</v>
      </c>
      <c r="F440" s="99"/>
      <c r="G440" s="99">
        <v>57</v>
      </c>
      <c r="H440" s="99">
        <v>30</v>
      </c>
      <c r="I440" s="99" t="s">
        <v>201</v>
      </c>
      <c r="J440" s="99" t="s">
        <v>155</v>
      </c>
      <c r="K440" s="99" t="b">
        <v>0</v>
      </c>
      <c r="L440" s="95">
        <v>2013</v>
      </c>
      <c r="M440" s="96">
        <v>4319913</v>
      </c>
      <c r="N440" s="100">
        <v>41018</v>
      </c>
      <c r="O440" s="100">
        <v>41018</v>
      </c>
    </row>
    <row r="441" spans="1:15" ht="14.25">
      <c r="A441" s="97">
        <v>2012</v>
      </c>
      <c r="B441" s="98" t="s">
        <v>198</v>
      </c>
      <c r="C441" s="98" t="s">
        <v>199</v>
      </c>
      <c r="D441" s="99">
        <v>223000</v>
      </c>
      <c r="E441" s="99">
        <v>0</v>
      </c>
      <c r="F441" s="99"/>
      <c r="G441" s="99">
        <v>44</v>
      </c>
      <c r="H441" s="99">
        <v>20</v>
      </c>
      <c r="I441" s="99" t="s">
        <v>202</v>
      </c>
      <c r="J441" s="99" t="s">
        <v>147</v>
      </c>
      <c r="K441" s="99" t="b">
        <v>1</v>
      </c>
      <c r="L441" s="95">
        <v>2013</v>
      </c>
      <c r="M441" s="96">
        <v>0.1974</v>
      </c>
      <c r="N441" s="100">
        <v>41018</v>
      </c>
      <c r="O441" s="100">
        <v>41018</v>
      </c>
    </row>
    <row r="442" spans="1:15" ht="14.25">
      <c r="A442" s="97">
        <v>2012</v>
      </c>
      <c r="B442" s="98" t="s">
        <v>198</v>
      </c>
      <c r="C442" s="98" t="s">
        <v>199</v>
      </c>
      <c r="D442" s="99">
        <v>223000</v>
      </c>
      <c r="E442" s="99">
        <v>0</v>
      </c>
      <c r="F442" s="99"/>
      <c r="G442" s="99">
        <v>48</v>
      </c>
      <c r="H442" s="99">
        <v>22</v>
      </c>
      <c r="I442" s="99" t="s">
        <v>219</v>
      </c>
      <c r="J442" s="99" t="s">
        <v>79</v>
      </c>
      <c r="K442" s="99" t="b">
        <v>0</v>
      </c>
      <c r="L442" s="95">
        <v>2013</v>
      </c>
      <c r="M442" s="96">
        <v>0.0673</v>
      </c>
      <c r="N442" s="100">
        <v>41018</v>
      </c>
      <c r="O442" s="100">
        <v>41018</v>
      </c>
    </row>
    <row r="443" spans="1:15" ht="14.25">
      <c r="A443" s="97">
        <v>2012</v>
      </c>
      <c r="B443" s="98" t="s">
        <v>198</v>
      </c>
      <c r="C443" s="98" t="s">
        <v>199</v>
      </c>
      <c r="D443" s="99">
        <v>223000</v>
      </c>
      <c r="E443" s="99">
        <v>0</v>
      </c>
      <c r="F443" s="99"/>
      <c r="G443" s="99">
        <v>23</v>
      </c>
      <c r="H443" s="99" t="s">
        <v>128</v>
      </c>
      <c r="I443" s="99"/>
      <c r="J443" s="99" t="s">
        <v>129</v>
      </c>
      <c r="K443" s="99" t="b">
        <v>1</v>
      </c>
      <c r="L443" s="95">
        <v>2014</v>
      </c>
      <c r="M443" s="96">
        <v>1534512</v>
      </c>
      <c r="N443" s="100">
        <v>41018</v>
      </c>
      <c r="O443" s="100">
        <v>41018</v>
      </c>
    </row>
    <row r="444" spans="1:15" ht="14.25">
      <c r="A444" s="97">
        <v>2012</v>
      </c>
      <c r="B444" s="98" t="s">
        <v>198</v>
      </c>
      <c r="C444" s="98" t="s">
        <v>199</v>
      </c>
      <c r="D444" s="99">
        <v>223000</v>
      </c>
      <c r="E444" s="99">
        <v>0</v>
      </c>
      <c r="F444" s="99"/>
      <c r="G444" s="99">
        <v>48</v>
      </c>
      <c r="H444" s="99">
        <v>22</v>
      </c>
      <c r="I444" s="99" t="s">
        <v>219</v>
      </c>
      <c r="J444" s="99" t="s">
        <v>79</v>
      </c>
      <c r="K444" s="99" t="b">
        <v>0</v>
      </c>
      <c r="L444" s="95">
        <v>2022</v>
      </c>
      <c r="M444" s="96">
        <v>0.0306</v>
      </c>
      <c r="N444" s="100">
        <v>41018</v>
      </c>
      <c r="O444" s="100">
        <v>41018</v>
      </c>
    </row>
    <row r="445" spans="1:15" ht="14.25">
      <c r="A445" s="97">
        <v>2012</v>
      </c>
      <c r="B445" s="98" t="s">
        <v>198</v>
      </c>
      <c r="C445" s="98" t="s">
        <v>199</v>
      </c>
      <c r="D445" s="99">
        <v>223000</v>
      </c>
      <c r="E445" s="99">
        <v>0</v>
      </c>
      <c r="F445" s="99"/>
      <c r="G445" s="99">
        <v>49</v>
      </c>
      <c r="H445" s="99" t="s">
        <v>150</v>
      </c>
      <c r="I445" s="99" t="s">
        <v>204</v>
      </c>
      <c r="J445" s="99" t="s">
        <v>81</v>
      </c>
      <c r="K445" s="99" t="b">
        <v>0</v>
      </c>
      <c r="L445" s="95">
        <v>2026</v>
      </c>
      <c r="M445" s="96">
        <v>209</v>
      </c>
      <c r="N445" s="100">
        <v>41018</v>
      </c>
      <c r="O445" s="100">
        <v>41018</v>
      </c>
    </row>
    <row r="446" spans="1:15" ht="14.25">
      <c r="A446" s="97">
        <v>2012</v>
      </c>
      <c r="B446" s="98" t="s">
        <v>198</v>
      </c>
      <c r="C446" s="98" t="s">
        <v>199</v>
      </c>
      <c r="D446" s="99">
        <v>223000</v>
      </c>
      <c r="E446" s="99">
        <v>0</v>
      </c>
      <c r="F446" s="99"/>
      <c r="G446" s="99">
        <v>24</v>
      </c>
      <c r="H446" s="99" t="s">
        <v>130</v>
      </c>
      <c r="I446" s="99"/>
      <c r="J446" s="99" t="s">
        <v>131</v>
      </c>
      <c r="K446" s="99" t="b">
        <v>1</v>
      </c>
      <c r="L446" s="95">
        <v>2012</v>
      </c>
      <c r="M446" s="96">
        <v>1780000</v>
      </c>
      <c r="N446" s="100">
        <v>41018</v>
      </c>
      <c r="O446" s="100">
        <v>41018</v>
      </c>
    </row>
    <row r="447" spans="1:15" ht="14.25">
      <c r="A447" s="97">
        <v>2012</v>
      </c>
      <c r="B447" s="98" t="s">
        <v>198</v>
      </c>
      <c r="C447" s="98" t="s">
        <v>199</v>
      </c>
      <c r="D447" s="99">
        <v>223000</v>
      </c>
      <c r="E447" s="99">
        <v>0</v>
      </c>
      <c r="F447" s="99"/>
      <c r="G447" s="99">
        <v>55</v>
      </c>
      <c r="H447" s="99">
        <v>28</v>
      </c>
      <c r="I447" s="99" t="s">
        <v>218</v>
      </c>
      <c r="J447" s="99" t="s">
        <v>48</v>
      </c>
      <c r="K447" s="99" t="b">
        <v>0</v>
      </c>
      <c r="L447" s="95">
        <v>2016</v>
      </c>
      <c r="M447" s="96">
        <v>2501733</v>
      </c>
      <c r="N447" s="100">
        <v>41018</v>
      </c>
      <c r="O447" s="100">
        <v>41018</v>
      </c>
    </row>
    <row r="448" spans="1:15" ht="14.25">
      <c r="A448" s="97">
        <v>2012</v>
      </c>
      <c r="B448" s="98" t="s">
        <v>198</v>
      </c>
      <c r="C448" s="98" t="s">
        <v>199</v>
      </c>
      <c r="D448" s="99">
        <v>223000</v>
      </c>
      <c r="E448" s="99">
        <v>0</v>
      </c>
      <c r="F448" s="99"/>
      <c r="G448" s="99">
        <v>46</v>
      </c>
      <c r="H448" s="99">
        <v>21</v>
      </c>
      <c r="I448" s="99" t="s">
        <v>213</v>
      </c>
      <c r="J448" s="99" t="s">
        <v>54</v>
      </c>
      <c r="K448" s="99" t="b">
        <v>1</v>
      </c>
      <c r="L448" s="95">
        <v>2017</v>
      </c>
      <c r="M448" s="96">
        <v>0.0455</v>
      </c>
      <c r="N448" s="100">
        <v>41018</v>
      </c>
      <c r="O448" s="100">
        <v>41018</v>
      </c>
    </row>
    <row r="449" spans="1:15" ht="14.25">
      <c r="A449" s="97">
        <v>2012</v>
      </c>
      <c r="B449" s="98" t="s">
        <v>198</v>
      </c>
      <c r="C449" s="98" t="s">
        <v>199</v>
      </c>
      <c r="D449" s="99">
        <v>223000</v>
      </c>
      <c r="E449" s="99">
        <v>0</v>
      </c>
      <c r="F449" s="99"/>
      <c r="G449" s="99">
        <v>47</v>
      </c>
      <c r="H449" s="99" t="s">
        <v>149</v>
      </c>
      <c r="I449" s="99" t="s">
        <v>209</v>
      </c>
      <c r="J449" s="99" t="s">
        <v>78</v>
      </c>
      <c r="K449" s="99" t="b">
        <v>0</v>
      </c>
      <c r="L449" s="95">
        <v>2018</v>
      </c>
      <c r="M449" s="96">
        <v>217</v>
      </c>
      <c r="N449" s="100">
        <v>41018</v>
      </c>
      <c r="O449" s="100">
        <v>41018</v>
      </c>
    </row>
    <row r="450" spans="1:15" ht="14.25">
      <c r="A450" s="97">
        <v>2012</v>
      </c>
      <c r="B450" s="98" t="s">
        <v>198</v>
      </c>
      <c r="C450" s="98" t="s">
        <v>199</v>
      </c>
      <c r="D450" s="99">
        <v>223000</v>
      </c>
      <c r="E450" s="99">
        <v>0</v>
      </c>
      <c r="F450" s="99"/>
      <c r="G450" s="99">
        <v>6</v>
      </c>
      <c r="H450" s="99" t="s">
        <v>104</v>
      </c>
      <c r="I450" s="99"/>
      <c r="J450" s="99" t="s">
        <v>105</v>
      </c>
      <c r="K450" s="99" t="b">
        <v>1</v>
      </c>
      <c r="L450" s="95">
        <v>2013</v>
      </c>
      <c r="M450" s="96">
        <v>256273</v>
      </c>
      <c r="N450" s="100">
        <v>41018</v>
      </c>
      <c r="O450" s="100">
        <v>41018</v>
      </c>
    </row>
    <row r="451" spans="1:15" ht="14.25">
      <c r="A451" s="97">
        <v>2012</v>
      </c>
      <c r="B451" s="98" t="s">
        <v>198</v>
      </c>
      <c r="C451" s="98" t="s">
        <v>199</v>
      </c>
      <c r="D451" s="99">
        <v>223000</v>
      </c>
      <c r="E451" s="99">
        <v>0</v>
      </c>
      <c r="F451" s="99"/>
      <c r="G451" s="99">
        <v>24</v>
      </c>
      <c r="H451" s="99" t="s">
        <v>130</v>
      </c>
      <c r="I451" s="99"/>
      <c r="J451" s="99" t="s">
        <v>131</v>
      </c>
      <c r="K451" s="99" t="b">
        <v>1</v>
      </c>
      <c r="L451" s="95">
        <v>2022</v>
      </c>
      <c r="M451" s="96">
        <v>361651</v>
      </c>
      <c r="N451" s="100">
        <v>41018</v>
      </c>
      <c r="O451" s="100">
        <v>41018</v>
      </c>
    </row>
    <row r="452" spans="1:15" ht="14.25">
      <c r="A452" s="97">
        <v>2012</v>
      </c>
      <c r="B452" s="98" t="s">
        <v>198</v>
      </c>
      <c r="C452" s="98" t="s">
        <v>199</v>
      </c>
      <c r="D452" s="99">
        <v>223000</v>
      </c>
      <c r="E452" s="99">
        <v>0</v>
      </c>
      <c r="F452" s="99"/>
      <c r="G452" s="99">
        <v>5</v>
      </c>
      <c r="H452" s="99" t="s">
        <v>102</v>
      </c>
      <c r="I452" s="99"/>
      <c r="J452" s="99" t="s">
        <v>103</v>
      </c>
      <c r="K452" s="99" t="b">
        <v>1</v>
      </c>
      <c r="L452" s="95">
        <v>2023</v>
      </c>
      <c r="M452" s="96">
        <v>1160000</v>
      </c>
      <c r="N452" s="100">
        <v>41018</v>
      </c>
      <c r="O452" s="100">
        <v>41018</v>
      </c>
    </row>
    <row r="453" spans="1:15" ht="14.25">
      <c r="A453" s="97">
        <v>2012</v>
      </c>
      <c r="B453" s="98" t="s">
        <v>198</v>
      </c>
      <c r="C453" s="98" t="s">
        <v>199</v>
      </c>
      <c r="D453" s="99">
        <v>223000</v>
      </c>
      <c r="E453" s="99">
        <v>0</v>
      </c>
      <c r="F453" s="99"/>
      <c r="G453" s="99">
        <v>19</v>
      </c>
      <c r="H453" s="99">
        <v>6</v>
      </c>
      <c r="I453" s="99" t="s">
        <v>211</v>
      </c>
      <c r="J453" s="99" t="s">
        <v>123</v>
      </c>
      <c r="K453" s="99" t="b">
        <v>0</v>
      </c>
      <c r="L453" s="95">
        <v>2019</v>
      </c>
      <c r="M453" s="96">
        <v>3948447</v>
      </c>
      <c r="N453" s="100">
        <v>41018</v>
      </c>
      <c r="O453" s="100">
        <v>41018</v>
      </c>
    </row>
    <row r="454" spans="1:15" ht="14.25">
      <c r="A454" s="97">
        <v>2012</v>
      </c>
      <c r="B454" s="98" t="s">
        <v>198</v>
      </c>
      <c r="C454" s="98" t="s">
        <v>199</v>
      </c>
      <c r="D454" s="99">
        <v>223000</v>
      </c>
      <c r="E454" s="99">
        <v>0</v>
      </c>
      <c r="F454" s="99"/>
      <c r="G454" s="99">
        <v>53</v>
      </c>
      <c r="H454" s="99">
        <v>26</v>
      </c>
      <c r="I454" s="99" t="s">
        <v>220</v>
      </c>
      <c r="J454" s="99" t="s">
        <v>153</v>
      </c>
      <c r="K454" s="99" t="b">
        <v>1</v>
      </c>
      <c r="L454" s="95">
        <v>2024</v>
      </c>
      <c r="M454" s="96">
        <v>84245781</v>
      </c>
      <c r="N454" s="100">
        <v>41018</v>
      </c>
      <c r="O454" s="100">
        <v>41018</v>
      </c>
    </row>
    <row r="455" spans="1:15" ht="14.25">
      <c r="A455" s="97">
        <v>2012</v>
      </c>
      <c r="B455" s="98" t="s">
        <v>198</v>
      </c>
      <c r="C455" s="98" t="s">
        <v>199</v>
      </c>
      <c r="D455" s="99">
        <v>223000</v>
      </c>
      <c r="E455" s="99">
        <v>0</v>
      </c>
      <c r="F455" s="99"/>
      <c r="G455" s="99">
        <v>44</v>
      </c>
      <c r="H455" s="99">
        <v>20</v>
      </c>
      <c r="I455" s="99" t="s">
        <v>202</v>
      </c>
      <c r="J455" s="99" t="s">
        <v>147</v>
      </c>
      <c r="K455" s="99" t="b">
        <v>1</v>
      </c>
      <c r="L455" s="95">
        <v>2018</v>
      </c>
      <c r="M455" s="96">
        <v>0.0461</v>
      </c>
      <c r="N455" s="100">
        <v>41018</v>
      </c>
      <c r="O455" s="100">
        <v>41018</v>
      </c>
    </row>
    <row r="456" spans="1:15" ht="14.25">
      <c r="A456" s="97">
        <v>2012</v>
      </c>
      <c r="B456" s="98" t="s">
        <v>198</v>
      </c>
      <c r="C456" s="98" t="s">
        <v>199</v>
      </c>
      <c r="D456" s="99">
        <v>223000</v>
      </c>
      <c r="E456" s="99">
        <v>0</v>
      </c>
      <c r="F456" s="99"/>
      <c r="G456" s="99">
        <v>20</v>
      </c>
      <c r="H456" s="99">
        <v>7</v>
      </c>
      <c r="I456" s="99" t="s">
        <v>205</v>
      </c>
      <c r="J456" s="99" t="s">
        <v>12</v>
      </c>
      <c r="K456" s="99" t="b">
        <v>1</v>
      </c>
      <c r="L456" s="95">
        <v>2016</v>
      </c>
      <c r="M456" s="96">
        <v>3711385</v>
      </c>
      <c r="N456" s="100">
        <v>41018</v>
      </c>
      <c r="O456" s="100">
        <v>41018</v>
      </c>
    </row>
    <row r="457" spans="1:15" ht="14.25">
      <c r="A457" s="97">
        <v>2012</v>
      </c>
      <c r="B457" s="98" t="s">
        <v>198</v>
      </c>
      <c r="C457" s="98" t="s">
        <v>199</v>
      </c>
      <c r="D457" s="99">
        <v>223000</v>
      </c>
      <c r="E457" s="99">
        <v>0</v>
      </c>
      <c r="F457" s="99"/>
      <c r="G457" s="99">
        <v>27</v>
      </c>
      <c r="H457" s="99">
        <v>10</v>
      </c>
      <c r="I457" s="99"/>
      <c r="J457" s="99" t="s">
        <v>18</v>
      </c>
      <c r="K457" s="99" t="b">
        <v>0</v>
      </c>
      <c r="L457" s="95">
        <v>2024</v>
      </c>
      <c r="M457" s="96">
        <v>660000</v>
      </c>
      <c r="N457" s="100">
        <v>41018</v>
      </c>
      <c r="O457" s="100">
        <v>41018</v>
      </c>
    </row>
    <row r="458" spans="1:15" ht="14.25">
      <c r="A458" s="97">
        <v>2012</v>
      </c>
      <c r="B458" s="98" t="s">
        <v>198</v>
      </c>
      <c r="C458" s="98" t="s">
        <v>199</v>
      </c>
      <c r="D458" s="99">
        <v>223000</v>
      </c>
      <c r="E458" s="99">
        <v>0</v>
      </c>
      <c r="F458" s="99"/>
      <c r="G458" s="99">
        <v>37</v>
      </c>
      <c r="H458" s="99">
        <v>16</v>
      </c>
      <c r="I458" s="99"/>
      <c r="J458" s="99" t="s">
        <v>142</v>
      </c>
      <c r="K458" s="99" t="b">
        <v>1</v>
      </c>
      <c r="L458" s="95">
        <v>2015</v>
      </c>
      <c r="M458" s="96">
        <v>2501733</v>
      </c>
      <c r="N458" s="100">
        <v>41018</v>
      </c>
      <c r="O458" s="100">
        <v>41018</v>
      </c>
    </row>
    <row r="459" spans="1:15" ht="14.25">
      <c r="A459" s="97">
        <v>2012</v>
      </c>
      <c r="B459" s="98" t="s">
        <v>198</v>
      </c>
      <c r="C459" s="98" t="s">
        <v>199</v>
      </c>
      <c r="D459" s="99">
        <v>223000</v>
      </c>
      <c r="E459" s="99">
        <v>0</v>
      </c>
      <c r="F459" s="99"/>
      <c r="G459" s="99">
        <v>45</v>
      </c>
      <c r="H459" s="99" t="s">
        <v>148</v>
      </c>
      <c r="I459" s="99" t="s">
        <v>210</v>
      </c>
      <c r="J459" s="99" t="s">
        <v>53</v>
      </c>
      <c r="K459" s="99" t="b">
        <v>0</v>
      </c>
      <c r="L459" s="95">
        <v>2013</v>
      </c>
      <c r="M459" s="96">
        <v>0.0679</v>
      </c>
      <c r="N459" s="100">
        <v>41018</v>
      </c>
      <c r="O459" s="100">
        <v>41018</v>
      </c>
    </row>
    <row r="460" spans="1:15" ht="14.25">
      <c r="A460" s="97">
        <v>2012</v>
      </c>
      <c r="B460" s="98" t="s">
        <v>198</v>
      </c>
      <c r="C460" s="98" t="s">
        <v>199</v>
      </c>
      <c r="D460" s="99">
        <v>223000</v>
      </c>
      <c r="E460" s="99">
        <v>0</v>
      </c>
      <c r="F460" s="99"/>
      <c r="G460" s="99">
        <v>57</v>
      </c>
      <c r="H460" s="99">
        <v>30</v>
      </c>
      <c r="I460" s="99" t="s">
        <v>201</v>
      </c>
      <c r="J460" s="99" t="s">
        <v>155</v>
      </c>
      <c r="K460" s="99" t="b">
        <v>0</v>
      </c>
      <c r="L460" s="95">
        <v>2017</v>
      </c>
      <c r="M460" s="96">
        <v>2501733</v>
      </c>
      <c r="N460" s="100">
        <v>41018</v>
      </c>
      <c r="O460" s="100">
        <v>41018</v>
      </c>
    </row>
    <row r="461" spans="1:15" ht="14.25">
      <c r="A461" s="97">
        <v>2012</v>
      </c>
      <c r="B461" s="98" t="s">
        <v>198</v>
      </c>
      <c r="C461" s="98" t="s">
        <v>199</v>
      </c>
      <c r="D461" s="99">
        <v>223000</v>
      </c>
      <c r="E461" s="99">
        <v>0</v>
      </c>
      <c r="F461" s="99"/>
      <c r="G461" s="99">
        <v>26</v>
      </c>
      <c r="H461" s="99">
        <v>9</v>
      </c>
      <c r="I461" s="99" t="s">
        <v>221</v>
      </c>
      <c r="J461" s="99" t="s">
        <v>133</v>
      </c>
      <c r="K461" s="99" t="b">
        <v>0</v>
      </c>
      <c r="L461" s="95">
        <v>2017</v>
      </c>
      <c r="M461" s="96">
        <v>1160000</v>
      </c>
      <c r="N461" s="100">
        <v>41018</v>
      </c>
      <c r="O461" s="100">
        <v>41018</v>
      </c>
    </row>
    <row r="462" spans="1:15" ht="14.25">
      <c r="A462" s="97">
        <v>2012</v>
      </c>
      <c r="B462" s="98" t="s">
        <v>198</v>
      </c>
      <c r="C462" s="98" t="s">
        <v>199</v>
      </c>
      <c r="D462" s="99">
        <v>223000</v>
      </c>
      <c r="E462" s="99">
        <v>0</v>
      </c>
      <c r="F462" s="99"/>
      <c r="G462" s="99">
        <v>12</v>
      </c>
      <c r="H462" s="99" t="s">
        <v>114</v>
      </c>
      <c r="I462" s="99"/>
      <c r="J462" s="99" t="s">
        <v>115</v>
      </c>
      <c r="K462" s="99" t="b">
        <v>0</v>
      </c>
      <c r="L462" s="95">
        <v>2013</v>
      </c>
      <c r="M462" s="96">
        <v>355439</v>
      </c>
      <c r="N462" s="100">
        <v>41018</v>
      </c>
      <c r="O462" s="100">
        <v>41018</v>
      </c>
    </row>
    <row r="463" spans="1:15" ht="14.25">
      <c r="A463" s="97">
        <v>2012</v>
      </c>
      <c r="B463" s="98" t="s">
        <v>198</v>
      </c>
      <c r="C463" s="98" t="s">
        <v>199</v>
      </c>
      <c r="D463" s="99">
        <v>223000</v>
      </c>
      <c r="E463" s="99">
        <v>0</v>
      </c>
      <c r="F463" s="99"/>
      <c r="G463" s="99">
        <v>24</v>
      </c>
      <c r="H463" s="99" t="s">
        <v>130</v>
      </c>
      <c r="I463" s="99"/>
      <c r="J463" s="99" t="s">
        <v>131</v>
      </c>
      <c r="K463" s="99" t="b">
        <v>1</v>
      </c>
      <c r="L463" s="95">
        <v>2018</v>
      </c>
      <c r="M463" s="96">
        <v>927661</v>
      </c>
      <c r="N463" s="100">
        <v>41018</v>
      </c>
      <c r="O463" s="100">
        <v>41018</v>
      </c>
    </row>
    <row r="464" spans="1:15" ht="14.25">
      <c r="A464" s="97">
        <v>2012</v>
      </c>
      <c r="B464" s="98" t="s">
        <v>198</v>
      </c>
      <c r="C464" s="98" t="s">
        <v>199</v>
      </c>
      <c r="D464" s="99">
        <v>223000</v>
      </c>
      <c r="E464" s="99">
        <v>0</v>
      </c>
      <c r="F464" s="99"/>
      <c r="G464" s="99">
        <v>47</v>
      </c>
      <c r="H464" s="99" t="s">
        <v>149</v>
      </c>
      <c r="I464" s="99" t="s">
        <v>209</v>
      </c>
      <c r="J464" s="99" t="s">
        <v>78</v>
      </c>
      <c r="K464" s="99" t="b">
        <v>0</v>
      </c>
      <c r="L464" s="95">
        <v>2026</v>
      </c>
      <c r="M464" s="96">
        <v>209</v>
      </c>
      <c r="N464" s="100">
        <v>41018</v>
      </c>
      <c r="O464" s="100">
        <v>41018</v>
      </c>
    </row>
    <row r="465" spans="1:15" ht="14.25">
      <c r="A465" s="97">
        <v>2012</v>
      </c>
      <c r="B465" s="98" t="s">
        <v>198</v>
      </c>
      <c r="C465" s="98" t="s">
        <v>199</v>
      </c>
      <c r="D465" s="99">
        <v>223000</v>
      </c>
      <c r="E465" s="99">
        <v>0</v>
      </c>
      <c r="F465" s="99"/>
      <c r="G465" s="99">
        <v>49</v>
      </c>
      <c r="H465" s="99" t="s">
        <v>150</v>
      </c>
      <c r="I465" s="99" t="s">
        <v>204</v>
      </c>
      <c r="J465" s="99" t="s">
        <v>81</v>
      </c>
      <c r="K465" s="99" t="b">
        <v>0</v>
      </c>
      <c r="L465" s="95">
        <v>2013</v>
      </c>
      <c r="M465" s="96">
        <v>6</v>
      </c>
      <c r="N465" s="100">
        <v>41018</v>
      </c>
      <c r="O465" s="100">
        <v>41018</v>
      </c>
    </row>
    <row r="466" spans="1:15" ht="14.25">
      <c r="A466" s="97">
        <v>2012</v>
      </c>
      <c r="B466" s="98" t="s">
        <v>198</v>
      </c>
      <c r="C466" s="98" t="s">
        <v>199</v>
      </c>
      <c r="D466" s="99">
        <v>223000</v>
      </c>
      <c r="E466" s="99">
        <v>0</v>
      </c>
      <c r="F466" s="99"/>
      <c r="G466" s="99">
        <v>2</v>
      </c>
      <c r="H466" s="99" t="s">
        <v>96</v>
      </c>
      <c r="I466" s="99"/>
      <c r="J466" s="99" t="s">
        <v>97</v>
      </c>
      <c r="K466" s="99" t="b">
        <v>1</v>
      </c>
      <c r="L466" s="95">
        <v>2012</v>
      </c>
      <c r="M466" s="96">
        <v>75996925</v>
      </c>
      <c r="N466" s="100">
        <v>41018</v>
      </c>
      <c r="O466" s="100">
        <v>41018</v>
      </c>
    </row>
    <row r="467" spans="1:15" ht="14.25">
      <c r="A467" s="97">
        <v>2012</v>
      </c>
      <c r="B467" s="98" t="s">
        <v>198</v>
      </c>
      <c r="C467" s="98" t="s">
        <v>199</v>
      </c>
      <c r="D467" s="99">
        <v>223000</v>
      </c>
      <c r="E467" s="99">
        <v>0</v>
      </c>
      <c r="F467" s="99"/>
      <c r="G467" s="99">
        <v>53</v>
      </c>
      <c r="H467" s="99">
        <v>26</v>
      </c>
      <c r="I467" s="99" t="s">
        <v>220</v>
      </c>
      <c r="J467" s="99" t="s">
        <v>153</v>
      </c>
      <c r="K467" s="99" t="b">
        <v>1</v>
      </c>
      <c r="L467" s="95">
        <v>2025</v>
      </c>
      <c r="M467" s="96">
        <v>85160000</v>
      </c>
      <c r="N467" s="100">
        <v>41018</v>
      </c>
      <c r="O467" s="100">
        <v>41018</v>
      </c>
    </row>
    <row r="468" spans="1:15" ht="14.25">
      <c r="A468" s="97">
        <v>2012</v>
      </c>
      <c r="B468" s="98" t="s">
        <v>198</v>
      </c>
      <c r="C468" s="98" t="s">
        <v>199</v>
      </c>
      <c r="D468" s="99">
        <v>223000</v>
      </c>
      <c r="E468" s="99">
        <v>0</v>
      </c>
      <c r="F468" s="99"/>
      <c r="G468" s="99">
        <v>31</v>
      </c>
      <c r="H468" s="99" t="s">
        <v>137</v>
      </c>
      <c r="I468" s="99"/>
      <c r="J468" s="99" t="s">
        <v>120</v>
      </c>
      <c r="K468" s="99" t="b">
        <v>1</v>
      </c>
      <c r="L468" s="95">
        <v>2012</v>
      </c>
      <c r="M468" s="96">
        <v>7000000</v>
      </c>
      <c r="N468" s="100">
        <v>41018</v>
      </c>
      <c r="O468" s="100">
        <v>41018</v>
      </c>
    </row>
    <row r="469" spans="1:15" ht="14.25">
      <c r="A469" s="97">
        <v>2012</v>
      </c>
      <c r="B469" s="98" t="s">
        <v>198</v>
      </c>
      <c r="C469" s="98" t="s">
        <v>199</v>
      </c>
      <c r="D469" s="99">
        <v>223000</v>
      </c>
      <c r="E469" s="99">
        <v>0</v>
      </c>
      <c r="F469" s="99"/>
      <c r="G469" s="99">
        <v>40</v>
      </c>
      <c r="H469" s="99">
        <v>18</v>
      </c>
      <c r="I469" s="99" t="s">
        <v>214</v>
      </c>
      <c r="J469" s="99" t="s">
        <v>71</v>
      </c>
      <c r="K469" s="99" t="b">
        <v>0</v>
      </c>
      <c r="L469" s="95">
        <v>2023</v>
      </c>
      <c r="M469" s="96">
        <v>0.0379</v>
      </c>
      <c r="N469" s="100">
        <v>41018</v>
      </c>
      <c r="O469" s="100">
        <v>41018</v>
      </c>
    </row>
    <row r="470" spans="1:15" ht="14.25">
      <c r="A470" s="97">
        <v>2012</v>
      </c>
      <c r="B470" s="98" t="s">
        <v>198</v>
      </c>
      <c r="C470" s="98" t="s">
        <v>199</v>
      </c>
      <c r="D470" s="99">
        <v>223000</v>
      </c>
      <c r="E470" s="99">
        <v>0</v>
      </c>
      <c r="F470" s="99"/>
      <c r="G470" s="99">
        <v>55</v>
      </c>
      <c r="H470" s="99">
        <v>28</v>
      </c>
      <c r="I470" s="99" t="s">
        <v>218</v>
      </c>
      <c r="J470" s="99" t="s">
        <v>48</v>
      </c>
      <c r="K470" s="99" t="b">
        <v>0</v>
      </c>
      <c r="L470" s="95">
        <v>2023</v>
      </c>
      <c r="M470" s="96">
        <v>2154468</v>
      </c>
      <c r="N470" s="100">
        <v>41018</v>
      </c>
      <c r="O470" s="100">
        <v>41018</v>
      </c>
    </row>
    <row r="471" spans="1:15" ht="14.25">
      <c r="A471" s="97">
        <v>2012</v>
      </c>
      <c r="B471" s="98" t="s">
        <v>198</v>
      </c>
      <c r="C471" s="98" t="s">
        <v>199</v>
      </c>
      <c r="D471" s="99">
        <v>223000</v>
      </c>
      <c r="E471" s="99">
        <v>0</v>
      </c>
      <c r="F471" s="99"/>
      <c r="G471" s="99">
        <v>4</v>
      </c>
      <c r="H471" s="99" t="s">
        <v>100</v>
      </c>
      <c r="I471" s="99"/>
      <c r="J471" s="99" t="s">
        <v>101</v>
      </c>
      <c r="K471" s="99" t="b">
        <v>1</v>
      </c>
      <c r="L471" s="95">
        <v>2019</v>
      </c>
      <c r="M471" s="96">
        <v>1160000</v>
      </c>
      <c r="N471" s="100">
        <v>41018</v>
      </c>
      <c r="O471" s="100">
        <v>41018</v>
      </c>
    </row>
    <row r="472" spans="1:15" ht="14.25">
      <c r="A472" s="97">
        <v>2012</v>
      </c>
      <c r="B472" s="98" t="s">
        <v>198</v>
      </c>
      <c r="C472" s="98" t="s">
        <v>199</v>
      </c>
      <c r="D472" s="99">
        <v>223000</v>
      </c>
      <c r="E472" s="99">
        <v>0</v>
      </c>
      <c r="F472" s="99"/>
      <c r="G472" s="99">
        <v>5</v>
      </c>
      <c r="H472" s="99" t="s">
        <v>102</v>
      </c>
      <c r="I472" s="99"/>
      <c r="J472" s="99" t="s">
        <v>103</v>
      </c>
      <c r="K472" s="99" t="b">
        <v>1</v>
      </c>
      <c r="L472" s="95">
        <v>2016</v>
      </c>
      <c r="M472" s="96">
        <v>1660000</v>
      </c>
      <c r="N472" s="100">
        <v>41018</v>
      </c>
      <c r="O472" s="100">
        <v>41018</v>
      </c>
    </row>
    <row r="473" spans="1:15" ht="14.25">
      <c r="A473" s="97">
        <v>2012</v>
      </c>
      <c r="B473" s="98" t="s">
        <v>198</v>
      </c>
      <c r="C473" s="98" t="s">
        <v>199</v>
      </c>
      <c r="D473" s="99">
        <v>223000</v>
      </c>
      <c r="E473" s="99">
        <v>0</v>
      </c>
      <c r="F473" s="99"/>
      <c r="G473" s="99">
        <v>53</v>
      </c>
      <c r="H473" s="99">
        <v>26</v>
      </c>
      <c r="I473" s="99" t="s">
        <v>220</v>
      </c>
      <c r="J473" s="99" t="s">
        <v>153</v>
      </c>
      <c r="K473" s="99" t="b">
        <v>1</v>
      </c>
      <c r="L473" s="95">
        <v>2022</v>
      </c>
      <c r="M473" s="96">
        <v>82313281</v>
      </c>
      <c r="N473" s="100">
        <v>41018</v>
      </c>
      <c r="O473" s="100">
        <v>41018</v>
      </c>
    </row>
    <row r="474" spans="1:15" ht="14.25">
      <c r="A474" s="97">
        <v>2012</v>
      </c>
      <c r="B474" s="98" t="s">
        <v>198</v>
      </c>
      <c r="C474" s="98" t="s">
        <v>199</v>
      </c>
      <c r="D474" s="99">
        <v>223000</v>
      </c>
      <c r="E474" s="99">
        <v>0</v>
      </c>
      <c r="F474" s="99"/>
      <c r="G474" s="99">
        <v>49</v>
      </c>
      <c r="H474" s="99" t="s">
        <v>150</v>
      </c>
      <c r="I474" s="99" t="s">
        <v>204</v>
      </c>
      <c r="J474" s="99" t="s">
        <v>81</v>
      </c>
      <c r="K474" s="99" t="b">
        <v>0</v>
      </c>
      <c r="L474" s="95">
        <v>2023</v>
      </c>
      <c r="M474" s="96">
        <v>86</v>
      </c>
      <c r="N474" s="100">
        <v>41018</v>
      </c>
      <c r="O474" s="100">
        <v>41018</v>
      </c>
    </row>
    <row r="475" spans="1:15" ht="14.25">
      <c r="A475" s="97">
        <v>2012</v>
      </c>
      <c r="B475" s="98" t="s">
        <v>198</v>
      </c>
      <c r="C475" s="98" t="s">
        <v>199</v>
      </c>
      <c r="D475" s="99">
        <v>223000</v>
      </c>
      <c r="E475" s="99">
        <v>0</v>
      </c>
      <c r="F475" s="99"/>
      <c r="G475" s="99">
        <v>5</v>
      </c>
      <c r="H475" s="99" t="s">
        <v>102</v>
      </c>
      <c r="I475" s="99"/>
      <c r="J475" s="99" t="s">
        <v>103</v>
      </c>
      <c r="K475" s="99" t="b">
        <v>1</v>
      </c>
      <c r="L475" s="95">
        <v>2020</v>
      </c>
      <c r="M475" s="96">
        <v>1160000</v>
      </c>
      <c r="N475" s="100">
        <v>41018</v>
      </c>
      <c r="O475" s="100">
        <v>41018</v>
      </c>
    </row>
    <row r="476" spans="1:15" ht="14.25">
      <c r="A476" s="97">
        <v>2012</v>
      </c>
      <c r="B476" s="98" t="s">
        <v>198</v>
      </c>
      <c r="C476" s="98" t="s">
        <v>199</v>
      </c>
      <c r="D476" s="99">
        <v>223000</v>
      </c>
      <c r="E476" s="99">
        <v>0</v>
      </c>
      <c r="F476" s="99"/>
      <c r="G476" s="99">
        <v>14</v>
      </c>
      <c r="H476" s="99">
        <v>3</v>
      </c>
      <c r="I476" s="99" t="s">
        <v>217</v>
      </c>
      <c r="J476" s="99" t="s">
        <v>118</v>
      </c>
      <c r="K476" s="99" t="b">
        <v>1</v>
      </c>
      <c r="L476" s="95">
        <v>2024</v>
      </c>
      <c r="M476" s="96">
        <v>2952017</v>
      </c>
      <c r="N476" s="100">
        <v>41018</v>
      </c>
      <c r="O476" s="100">
        <v>41018</v>
      </c>
    </row>
    <row r="477" spans="1:15" ht="14.25">
      <c r="A477" s="97">
        <v>2012</v>
      </c>
      <c r="B477" s="98" t="s">
        <v>198</v>
      </c>
      <c r="C477" s="98" t="s">
        <v>199</v>
      </c>
      <c r="D477" s="99">
        <v>223000</v>
      </c>
      <c r="E477" s="99">
        <v>0</v>
      </c>
      <c r="F477" s="99"/>
      <c r="G477" s="99">
        <v>15</v>
      </c>
      <c r="H477" s="99">
        <v>4</v>
      </c>
      <c r="I477" s="99"/>
      <c r="J477" s="99" t="s">
        <v>223</v>
      </c>
      <c r="K477" s="99" t="b">
        <v>0</v>
      </c>
      <c r="L477" s="95">
        <v>2012</v>
      </c>
      <c r="M477" s="96">
        <v>7940713</v>
      </c>
      <c r="N477" s="100">
        <v>41018</v>
      </c>
      <c r="O477" s="100">
        <v>41018</v>
      </c>
    </row>
    <row r="478" spans="1:15" ht="14.25">
      <c r="A478" s="97">
        <v>2012</v>
      </c>
      <c r="B478" s="98" t="s">
        <v>198</v>
      </c>
      <c r="C478" s="98" t="s">
        <v>199</v>
      </c>
      <c r="D478" s="99">
        <v>223000</v>
      </c>
      <c r="E478" s="99">
        <v>0</v>
      </c>
      <c r="F478" s="99"/>
      <c r="G478" s="99">
        <v>44</v>
      </c>
      <c r="H478" s="99">
        <v>20</v>
      </c>
      <c r="I478" s="99" t="s">
        <v>202</v>
      </c>
      <c r="J478" s="99" t="s">
        <v>147</v>
      </c>
      <c r="K478" s="99" t="b">
        <v>1</v>
      </c>
      <c r="L478" s="95">
        <v>2015</v>
      </c>
      <c r="M478" s="96">
        <v>0.1007</v>
      </c>
      <c r="N478" s="100">
        <v>41018</v>
      </c>
      <c r="O478" s="100">
        <v>41018</v>
      </c>
    </row>
    <row r="479" spans="1:15" ht="14.25">
      <c r="A479" s="97">
        <v>2012</v>
      </c>
      <c r="B479" s="98" t="s">
        <v>198</v>
      </c>
      <c r="C479" s="98" t="s">
        <v>199</v>
      </c>
      <c r="D479" s="99">
        <v>223000</v>
      </c>
      <c r="E479" s="99">
        <v>0</v>
      </c>
      <c r="F479" s="99"/>
      <c r="G479" s="99">
        <v>5</v>
      </c>
      <c r="H479" s="99" t="s">
        <v>102</v>
      </c>
      <c r="I479" s="99"/>
      <c r="J479" s="99" t="s">
        <v>103</v>
      </c>
      <c r="K479" s="99" t="b">
        <v>1</v>
      </c>
      <c r="L479" s="95">
        <v>2019</v>
      </c>
      <c r="M479" s="96">
        <v>1160000</v>
      </c>
      <c r="N479" s="100">
        <v>41018</v>
      </c>
      <c r="O479" s="100">
        <v>41018</v>
      </c>
    </row>
    <row r="480" spans="1:15" ht="14.25">
      <c r="A480" s="97">
        <v>2012</v>
      </c>
      <c r="B480" s="98" t="s">
        <v>198</v>
      </c>
      <c r="C480" s="98" t="s">
        <v>199</v>
      </c>
      <c r="D480" s="99">
        <v>223000</v>
      </c>
      <c r="E480" s="99">
        <v>0</v>
      </c>
      <c r="F480" s="99"/>
      <c r="G480" s="99">
        <v>5</v>
      </c>
      <c r="H480" s="99" t="s">
        <v>102</v>
      </c>
      <c r="I480" s="99"/>
      <c r="J480" s="99" t="s">
        <v>103</v>
      </c>
      <c r="K480" s="99" t="b">
        <v>1</v>
      </c>
      <c r="L480" s="95">
        <v>2012</v>
      </c>
      <c r="M480" s="96">
        <v>11240603</v>
      </c>
      <c r="N480" s="100">
        <v>41018</v>
      </c>
      <c r="O480" s="100">
        <v>41018</v>
      </c>
    </row>
    <row r="481" spans="1:15" ht="14.25">
      <c r="A481" s="97">
        <v>2012</v>
      </c>
      <c r="B481" s="98" t="s">
        <v>198</v>
      </c>
      <c r="C481" s="98" t="s">
        <v>199</v>
      </c>
      <c r="D481" s="99">
        <v>223000</v>
      </c>
      <c r="E481" s="99">
        <v>0</v>
      </c>
      <c r="F481" s="99"/>
      <c r="G481" s="99">
        <v>41</v>
      </c>
      <c r="H481" s="99" t="s">
        <v>145</v>
      </c>
      <c r="I481" s="99" t="s">
        <v>212</v>
      </c>
      <c r="J481" s="99" t="s">
        <v>73</v>
      </c>
      <c r="K481" s="99" t="b">
        <v>0</v>
      </c>
      <c r="L481" s="95">
        <v>2012</v>
      </c>
      <c r="M481" s="96">
        <v>0.4693</v>
      </c>
      <c r="N481" s="100">
        <v>41018</v>
      </c>
      <c r="O481" s="100">
        <v>41018</v>
      </c>
    </row>
    <row r="482" spans="1:15" ht="14.25">
      <c r="A482" s="97">
        <v>2012</v>
      </c>
      <c r="B482" s="98" t="s">
        <v>198</v>
      </c>
      <c r="C482" s="98" t="s">
        <v>199</v>
      </c>
      <c r="D482" s="99">
        <v>223000</v>
      </c>
      <c r="E482" s="99">
        <v>0</v>
      </c>
      <c r="F482" s="99"/>
      <c r="G482" s="99">
        <v>52</v>
      </c>
      <c r="H482" s="99">
        <v>25</v>
      </c>
      <c r="I482" s="99" t="s">
        <v>216</v>
      </c>
      <c r="J482" s="99" t="s">
        <v>49</v>
      </c>
      <c r="K482" s="99" t="b">
        <v>1</v>
      </c>
      <c r="L482" s="95">
        <v>2020</v>
      </c>
      <c r="M482" s="96">
        <v>2001733</v>
      </c>
      <c r="N482" s="100">
        <v>41018</v>
      </c>
      <c r="O482" s="100">
        <v>41018</v>
      </c>
    </row>
    <row r="483" spans="1:15" ht="14.25">
      <c r="A483" s="97">
        <v>2012</v>
      </c>
      <c r="B483" s="98" t="s">
        <v>198</v>
      </c>
      <c r="C483" s="98" t="s">
        <v>199</v>
      </c>
      <c r="D483" s="99">
        <v>223000</v>
      </c>
      <c r="E483" s="99">
        <v>0</v>
      </c>
      <c r="F483" s="99"/>
      <c r="G483" s="99">
        <v>14</v>
      </c>
      <c r="H483" s="99">
        <v>3</v>
      </c>
      <c r="I483" s="99" t="s">
        <v>217</v>
      </c>
      <c r="J483" s="99" t="s">
        <v>118</v>
      </c>
      <c r="K483" s="99" t="b">
        <v>1</v>
      </c>
      <c r="L483" s="95">
        <v>2026</v>
      </c>
      <c r="M483" s="96">
        <v>1178281</v>
      </c>
      <c r="N483" s="100">
        <v>41018</v>
      </c>
      <c r="O483" s="100">
        <v>41018</v>
      </c>
    </row>
    <row r="484" spans="1:15" ht="14.25">
      <c r="A484" s="97">
        <v>2012</v>
      </c>
      <c r="B484" s="98" t="s">
        <v>198</v>
      </c>
      <c r="C484" s="98" t="s">
        <v>199</v>
      </c>
      <c r="D484" s="99">
        <v>223000</v>
      </c>
      <c r="E484" s="99">
        <v>0</v>
      </c>
      <c r="F484" s="99"/>
      <c r="G484" s="99">
        <v>50</v>
      </c>
      <c r="H484" s="99">
        <v>23</v>
      </c>
      <c r="I484" s="99" t="s">
        <v>215</v>
      </c>
      <c r="J484" s="99" t="s">
        <v>151</v>
      </c>
      <c r="K484" s="99" t="b">
        <v>1</v>
      </c>
      <c r="L484" s="95">
        <v>2021</v>
      </c>
      <c r="M484" s="96">
        <v>80561748</v>
      </c>
      <c r="N484" s="100">
        <v>41018</v>
      </c>
      <c r="O484" s="100">
        <v>41018</v>
      </c>
    </row>
    <row r="485" spans="1:15" ht="14.25">
      <c r="A485" s="97">
        <v>2012</v>
      </c>
      <c r="B485" s="98" t="s">
        <v>198</v>
      </c>
      <c r="C485" s="98" t="s">
        <v>199</v>
      </c>
      <c r="D485" s="99">
        <v>223000</v>
      </c>
      <c r="E485" s="99">
        <v>0</v>
      </c>
      <c r="F485" s="99"/>
      <c r="G485" s="99">
        <v>42</v>
      </c>
      <c r="H485" s="99">
        <v>19</v>
      </c>
      <c r="I485" s="99" t="s">
        <v>207</v>
      </c>
      <c r="J485" s="99" t="s">
        <v>74</v>
      </c>
      <c r="K485" s="99" t="b">
        <v>1</v>
      </c>
      <c r="L485" s="95">
        <v>2014</v>
      </c>
      <c r="M485" s="96">
        <v>0.0628</v>
      </c>
      <c r="N485" s="100">
        <v>41018</v>
      </c>
      <c r="O485" s="100">
        <v>41018</v>
      </c>
    </row>
    <row r="486" spans="1:15" ht="14.25">
      <c r="A486" s="97">
        <v>2012</v>
      </c>
      <c r="B486" s="98" t="s">
        <v>198</v>
      </c>
      <c r="C486" s="98" t="s">
        <v>199</v>
      </c>
      <c r="D486" s="99">
        <v>223000</v>
      </c>
      <c r="E486" s="99">
        <v>0</v>
      </c>
      <c r="F486" s="99"/>
      <c r="G486" s="99">
        <v>52</v>
      </c>
      <c r="H486" s="99">
        <v>25</v>
      </c>
      <c r="I486" s="99" t="s">
        <v>216</v>
      </c>
      <c r="J486" s="99" t="s">
        <v>49</v>
      </c>
      <c r="K486" s="99" t="b">
        <v>1</v>
      </c>
      <c r="L486" s="95">
        <v>2012</v>
      </c>
      <c r="M486" s="96">
        <v>235000</v>
      </c>
      <c r="N486" s="100">
        <v>41018</v>
      </c>
      <c r="O486" s="100">
        <v>41018</v>
      </c>
    </row>
    <row r="487" spans="1:15" ht="14.25">
      <c r="A487" s="97">
        <v>2012</v>
      </c>
      <c r="B487" s="98" t="s">
        <v>198</v>
      </c>
      <c r="C487" s="98" t="s">
        <v>199</v>
      </c>
      <c r="D487" s="99">
        <v>223000</v>
      </c>
      <c r="E487" s="99">
        <v>0</v>
      </c>
      <c r="F487" s="99"/>
      <c r="G487" s="99">
        <v>21</v>
      </c>
      <c r="H487" s="99" t="s">
        <v>124</v>
      </c>
      <c r="I487" s="99"/>
      <c r="J487" s="99" t="s">
        <v>125</v>
      </c>
      <c r="K487" s="99" t="b">
        <v>1</v>
      </c>
      <c r="L487" s="95">
        <v>2014</v>
      </c>
      <c r="M487" s="96">
        <v>4319922</v>
      </c>
      <c r="N487" s="100">
        <v>41018</v>
      </c>
      <c r="O487" s="100">
        <v>41018</v>
      </c>
    </row>
    <row r="488" spans="1:15" ht="14.25">
      <c r="A488" s="97">
        <v>2012</v>
      </c>
      <c r="B488" s="98" t="s">
        <v>198</v>
      </c>
      <c r="C488" s="98" t="s">
        <v>199</v>
      </c>
      <c r="D488" s="99">
        <v>223000</v>
      </c>
      <c r="E488" s="99">
        <v>0</v>
      </c>
      <c r="F488" s="99"/>
      <c r="G488" s="99">
        <v>7</v>
      </c>
      <c r="H488" s="99">
        <v>2</v>
      </c>
      <c r="I488" s="99"/>
      <c r="J488" s="99" t="s">
        <v>3</v>
      </c>
      <c r="K488" s="99" t="b">
        <v>1</v>
      </c>
      <c r="L488" s="95">
        <v>2023</v>
      </c>
      <c r="M488" s="96">
        <v>80226444</v>
      </c>
      <c r="N488" s="100">
        <v>41018</v>
      </c>
      <c r="O488" s="100">
        <v>41018</v>
      </c>
    </row>
    <row r="489" spans="1:15" ht="14.25">
      <c r="A489" s="97">
        <v>2012</v>
      </c>
      <c r="B489" s="98" t="s">
        <v>198</v>
      </c>
      <c r="C489" s="98" t="s">
        <v>199</v>
      </c>
      <c r="D489" s="99">
        <v>223000</v>
      </c>
      <c r="E489" s="99">
        <v>0</v>
      </c>
      <c r="F489" s="99"/>
      <c r="G489" s="99">
        <v>57</v>
      </c>
      <c r="H489" s="99">
        <v>30</v>
      </c>
      <c r="I489" s="99" t="s">
        <v>201</v>
      </c>
      <c r="J489" s="99" t="s">
        <v>155</v>
      </c>
      <c r="K489" s="99" t="b">
        <v>0</v>
      </c>
      <c r="L489" s="95">
        <v>2014</v>
      </c>
      <c r="M489" s="96">
        <v>4319922</v>
      </c>
      <c r="N489" s="100">
        <v>41018</v>
      </c>
      <c r="O489" s="100">
        <v>41018</v>
      </c>
    </row>
    <row r="490" spans="1:15" ht="14.25">
      <c r="A490" s="97">
        <v>2012</v>
      </c>
      <c r="B490" s="98" t="s">
        <v>198</v>
      </c>
      <c r="C490" s="98" t="s">
        <v>199</v>
      </c>
      <c r="D490" s="99">
        <v>223000</v>
      </c>
      <c r="E490" s="99">
        <v>0</v>
      </c>
      <c r="F490" s="99"/>
      <c r="G490" s="99">
        <v>51</v>
      </c>
      <c r="H490" s="99">
        <v>24</v>
      </c>
      <c r="I490" s="99" t="s">
        <v>203</v>
      </c>
      <c r="J490" s="99" t="s">
        <v>152</v>
      </c>
      <c r="K490" s="99" t="b">
        <v>1</v>
      </c>
      <c r="L490" s="95">
        <v>2022</v>
      </c>
      <c r="M490" s="96">
        <v>79498813</v>
      </c>
      <c r="N490" s="100">
        <v>41018</v>
      </c>
      <c r="O490" s="100">
        <v>41018</v>
      </c>
    </row>
    <row r="491" spans="1:15" ht="14.25">
      <c r="A491" s="97">
        <v>2012</v>
      </c>
      <c r="B491" s="98" t="s">
        <v>198</v>
      </c>
      <c r="C491" s="98" t="s">
        <v>199</v>
      </c>
      <c r="D491" s="99">
        <v>223000</v>
      </c>
      <c r="E491" s="99">
        <v>0</v>
      </c>
      <c r="F491" s="99"/>
      <c r="G491" s="99">
        <v>23</v>
      </c>
      <c r="H491" s="99" t="s">
        <v>128</v>
      </c>
      <c r="I491" s="99"/>
      <c r="J491" s="99" t="s">
        <v>129</v>
      </c>
      <c r="K491" s="99" t="b">
        <v>1</v>
      </c>
      <c r="L491" s="95">
        <v>2016</v>
      </c>
      <c r="M491" s="96">
        <v>1209652</v>
      </c>
      <c r="N491" s="100">
        <v>41018</v>
      </c>
      <c r="O491" s="100">
        <v>41018</v>
      </c>
    </row>
    <row r="492" spans="1:15" ht="14.25">
      <c r="A492" s="97">
        <v>2012</v>
      </c>
      <c r="B492" s="98" t="s">
        <v>198</v>
      </c>
      <c r="C492" s="98" t="s">
        <v>199</v>
      </c>
      <c r="D492" s="99">
        <v>223000</v>
      </c>
      <c r="E492" s="99">
        <v>0</v>
      </c>
      <c r="F492" s="99"/>
      <c r="G492" s="99">
        <v>26</v>
      </c>
      <c r="H492" s="99">
        <v>9</v>
      </c>
      <c r="I492" s="99" t="s">
        <v>221</v>
      </c>
      <c r="J492" s="99" t="s">
        <v>133</v>
      </c>
      <c r="K492" s="99" t="b">
        <v>0</v>
      </c>
      <c r="L492" s="95">
        <v>2014</v>
      </c>
      <c r="M492" s="96">
        <v>15800000</v>
      </c>
      <c r="N492" s="100">
        <v>41018</v>
      </c>
      <c r="O492" s="100">
        <v>41018</v>
      </c>
    </row>
    <row r="493" spans="1:15" ht="14.25">
      <c r="A493" s="97">
        <v>2012</v>
      </c>
      <c r="B493" s="98" t="s">
        <v>198</v>
      </c>
      <c r="C493" s="98" t="s">
        <v>199</v>
      </c>
      <c r="D493" s="99">
        <v>223000</v>
      </c>
      <c r="E493" s="99">
        <v>0</v>
      </c>
      <c r="F493" s="99"/>
      <c r="G493" s="99">
        <v>19</v>
      </c>
      <c r="H493" s="99">
        <v>6</v>
      </c>
      <c r="I493" s="99" t="s">
        <v>211</v>
      </c>
      <c r="J493" s="99" t="s">
        <v>123</v>
      </c>
      <c r="K493" s="99" t="b">
        <v>0</v>
      </c>
      <c r="L493" s="95">
        <v>2018</v>
      </c>
      <c r="M493" s="96">
        <v>4589394</v>
      </c>
      <c r="N493" s="100">
        <v>41018</v>
      </c>
      <c r="O493" s="100">
        <v>41018</v>
      </c>
    </row>
    <row r="494" spans="1:15" ht="14.25">
      <c r="A494" s="97">
        <v>2012</v>
      </c>
      <c r="B494" s="98" t="s">
        <v>198</v>
      </c>
      <c r="C494" s="98" t="s">
        <v>199</v>
      </c>
      <c r="D494" s="99">
        <v>223000</v>
      </c>
      <c r="E494" s="99">
        <v>0</v>
      </c>
      <c r="F494" s="99"/>
      <c r="G494" s="99">
        <v>20</v>
      </c>
      <c r="H494" s="99">
        <v>7</v>
      </c>
      <c r="I494" s="99" t="s">
        <v>205</v>
      </c>
      <c r="J494" s="99" t="s">
        <v>12</v>
      </c>
      <c r="K494" s="99" t="b">
        <v>1</v>
      </c>
      <c r="L494" s="95">
        <v>2024</v>
      </c>
      <c r="M494" s="96">
        <v>2292017</v>
      </c>
      <c r="N494" s="100">
        <v>41018</v>
      </c>
      <c r="O494" s="100">
        <v>41018</v>
      </c>
    </row>
    <row r="495" spans="1:15" ht="14.25">
      <c r="A495" s="97">
        <v>2012</v>
      </c>
      <c r="B495" s="98" t="s">
        <v>198</v>
      </c>
      <c r="C495" s="98" t="s">
        <v>199</v>
      </c>
      <c r="D495" s="99">
        <v>223000</v>
      </c>
      <c r="E495" s="99">
        <v>0</v>
      </c>
      <c r="F495" s="99"/>
      <c r="G495" s="99">
        <v>44</v>
      </c>
      <c r="H495" s="99">
        <v>20</v>
      </c>
      <c r="I495" s="99" t="s">
        <v>202</v>
      </c>
      <c r="J495" s="99" t="s">
        <v>147</v>
      </c>
      <c r="K495" s="99" t="b">
        <v>1</v>
      </c>
      <c r="L495" s="95">
        <v>2017</v>
      </c>
      <c r="M495" s="96">
        <v>0.0467</v>
      </c>
      <c r="N495" s="100">
        <v>41018</v>
      </c>
      <c r="O495" s="100">
        <v>41018</v>
      </c>
    </row>
    <row r="496" spans="1:15" ht="14.25">
      <c r="A496" s="97">
        <v>2012</v>
      </c>
      <c r="B496" s="98" t="s">
        <v>198</v>
      </c>
      <c r="C496" s="98" t="s">
        <v>199</v>
      </c>
      <c r="D496" s="99">
        <v>223000</v>
      </c>
      <c r="E496" s="99">
        <v>0</v>
      </c>
      <c r="F496" s="99"/>
      <c r="G496" s="99">
        <v>2</v>
      </c>
      <c r="H496" s="99" t="s">
        <v>96</v>
      </c>
      <c r="I496" s="99"/>
      <c r="J496" s="99" t="s">
        <v>97</v>
      </c>
      <c r="K496" s="99" t="b">
        <v>1</v>
      </c>
      <c r="L496" s="95">
        <v>2024</v>
      </c>
      <c r="M496" s="96">
        <v>83085781</v>
      </c>
      <c r="N496" s="100">
        <v>41018</v>
      </c>
      <c r="O496" s="100">
        <v>41018</v>
      </c>
    </row>
    <row r="497" spans="1:15" ht="14.25">
      <c r="A497" s="97">
        <v>2012</v>
      </c>
      <c r="B497" s="98" t="s">
        <v>198</v>
      </c>
      <c r="C497" s="98" t="s">
        <v>199</v>
      </c>
      <c r="D497" s="99">
        <v>223000</v>
      </c>
      <c r="E497" s="99">
        <v>0</v>
      </c>
      <c r="F497" s="99"/>
      <c r="G497" s="99">
        <v>27</v>
      </c>
      <c r="H497" s="99">
        <v>10</v>
      </c>
      <c r="I497" s="99"/>
      <c r="J497" s="99" t="s">
        <v>18</v>
      </c>
      <c r="K497" s="99" t="b">
        <v>0</v>
      </c>
      <c r="L497" s="95">
        <v>2022</v>
      </c>
      <c r="M497" s="96">
        <v>660000</v>
      </c>
      <c r="N497" s="100">
        <v>41018</v>
      </c>
      <c r="O497" s="100">
        <v>41018</v>
      </c>
    </row>
    <row r="498" spans="1:15" ht="14.25">
      <c r="A498" s="97">
        <v>2012</v>
      </c>
      <c r="B498" s="98" t="s">
        <v>198</v>
      </c>
      <c r="C498" s="98" t="s">
        <v>199</v>
      </c>
      <c r="D498" s="99">
        <v>223000</v>
      </c>
      <c r="E498" s="99">
        <v>0</v>
      </c>
      <c r="F498" s="99"/>
      <c r="G498" s="99">
        <v>20</v>
      </c>
      <c r="H498" s="99">
        <v>7</v>
      </c>
      <c r="I498" s="99" t="s">
        <v>205</v>
      </c>
      <c r="J498" s="99" t="s">
        <v>12</v>
      </c>
      <c r="K498" s="99" t="b">
        <v>1</v>
      </c>
      <c r="L498" s="95">
        <v>2022</v>
      </c>
      <c r="M498" s="96">
        <v>2516119</v>
      </c>
      <c r="N498" s="100">
        <v>41018</v>
      </c>
      <c r="O498" s="100">
        <v>41018</v>
      </c>
    </row>
    <row r="499" spans="1:15" ht="14.25">
      <c r="A499" s="97">
        <v>2012</v>
      </c>
      <c r="B499" s="98" t="s">
        <v>198</v>
      </c>
      <c r="C499" s="98" t="s">
        <v>199</v>
      </c>
      <c r="D499" s="99">
        <v>223000</v>
      </c>
      <c r="E499" s="99">
        <v>0</v>
      </c>
      <c r="F499" s="99"/>
      <c r="G499" s="99">
        <v>57</v>
      </c>
      <c r="H499" s="99">
        <v>30</v>
      </c>
      <c r="I499" s="99" t="s">
        <v>201</v>
      </c>
      <c r="J499" s="99" t="s">
        <v>155</v>
      </c>
      <c r="K499" s="99" t="b">
        <v>0</v>
      </c>
      <c r="L499" s="95">
        <v>2016</v>
      </c>
      <c r="M499" s="96">
        <v>2501733</v>
      </c>
      <c r="N499" s="100">
        <v>41018</v>
      </c>
      <c r="O499" s="100">
        <v>41018</v>
      </c>
    </row>
    <row r="500" spans="1:15" ht="14.25">
      <c r="A500" s="97">
        <v>2012</v>
      </c>
      <c r="B500" s="98" t="s">
        <v>198</v>
      </c>
      <c r="C500" s="98" t="s">
        <v>199</v>
      </c>
      <c r="D500" s="99">
        <v>223000</v>
      </c>
      <c r="E500" s="99">
        <v>0</v>
      </c>
      <c r="F500" s="99"/>
      <c r="G500" s="99">
        <v>23</v>
      </c>
      <c r="H500" s="99" t="s">
        <v>128</v>
      </c>
      <c r="I500" s="99"/>
      <c r="J500" s="99" t="s">
        <v>129</v>
      </c>
      <c r="K500" s="99" t="b">
        <v>1</v>
      </c>
      <c r="L500" s="95">
        <v>2021</v>
      </c>
      <c r="M500" s="96">
        <v>504813</v>
      </c>
      <c r="N500" s="100">
        <v>41018</v>
      </c>
      <c r="O500" s="100">
        <v>41018</v>
      </c>
    </row>
    <row r="501" spans="1:15" ht="14.25">
      <c r="A501" s="97">
        <v>2012</v>
      </c>
      <c r="B501" s="98" t="s">
        <v>198</v>
      </c>
      <c r="C501" s="98" t="s">
        <v>199</v>
      </c>
      <c r="D501" s="99">
        <v>223000</v>
      </c>
      <c r="E501" s="99">
        <v>0</v>
      </c>
      <c r="F501" s="99"/>
      <c r="G501" s="99">
        <v>46</v>
      </c>
      <c r="H501" s="99">
        <v>21</v>
      </c>
      <c r="I501" s="99" t="s">
        <v>213</v>
      </c>
      <c r="J501" s="99" t="s">
        <v>54</v>
      </c>
      <c r="K501" s="99" t="b">
        <v>1</v>
      </c>
      <c r="L501" s="95">
        <v>2020</v>
      </c>
      <c r="M501" s="96">
        <v>0.039</v>
      </c>
      <c r="N501" s="100">
        <v>41018</v>
      </c>
      <c r="O501" s="100">
        <v>41018</v>
      </c>
    </row>
    <row r="502" spans="1:15" ht="14.25">
      <c r="A502" s="97">
        <v>2012</v>
      </c>
      <c r="B502" s="98" t="s">
        <v>198</v>
      </c>
      <c r="C502" s="98" t="s">
        <v>199</v>
      </c>
      <c r="D502" s="99">
        <v>223000</v>
      </c>
      <c r="E502" s="99">
        <v>0</v>
      </c>
      <c r="F502" s="99"/>
      <c r="G502" s="99">
        <v>37</v>
      </c>
      <c r="H502" s="99">
        <v>16</v>
      </c>
      <c r="I502" s="99"/>
      <c r="J502" s="99" t="s">
        <v>142</v>
      </c>
      <c r="K502" s="99" t="b">
        <v>1</v>
      </c>
      <c r="L502" s="95">
        <v>2023</v>
      </c>
      <c r="M502" s="96">
        <v>2154468</v>
      </c>
      <c r="N502" s="100">
        <v>41018</v>
      </c>
      <c r="O502" s="100">
        <v>41018</v>
      </c>
    </row>
    <row r="503" spans="1:15" ht="14.25">
      <c r="A503" s="97">
        <v>2012</v>
      </c>
      <c r="B503" s="98" t="s">
        <v>198</v>
      </c>
      <c r="C503" s="98" t="s">
        <v>199</v>
      </c>
      <c r="D503" s="99">
        <v>223000</v>
      </c>
      <c r="E503" s="99">
        <v>0</v>
      </c>
      <c r="F503" s="99"/>
      <c r="G503" s="99">
        <v>8</v>
      </c>
      <c r="H503" s="99" t="s">
        <v>106</v>
      </c>
      <c r="I503" s="99"/>
      <c r="J503" s="99" t="s">
        <v>107</v>
      </c>
      <c r="K503" s="99" t="b">
        <v>0</v>
      </c>
      <c r="L503" s="95">
        <v>2025</v>
      </c>
      <c r="M503" s="96">
        <v>36000000</v>
      </c>
      <c r="N503" s="100">
        <v>41018</v>
      </c>
      <c r="O503" s="100">
        <v>41018</v>
      </c>
    </row>
    <row r="504" spans="1:15" ht="14.25">
      <c r="A504" s="97">
        <v>2012</v>
      </c>
      <c r="B504" s="98" t="s">
        <v>198</v>
      </c>
      <c r="C504" s="98" t="s">
        <v>199</v>
      </c>
      <c r="D504" s="99">
        <v>223000</v>
      </c>
      <c r="E504" s="99">
        <v>0</v>
      </c>
      <c r="F504" s="99"/>
      <c r="G504" s="99">
        <v>44</v>
      </c>
      <c r="H504" s="99">
        <v>20</v>
      </c>
      <c r="I504" s="99" t="s">
        <v>202</v>
      </c>
      <c r="J504" s="99" t="s">
        <v>147</v>
      </c>
      <c r="K504" s="99" t="b">
        <v>1</v>
      </c>
      <c r="L504" s="95">
        <v>2014</v>
      </c>
      <c r="M504" s="96">
        <v>0.2159</v>
      </c>
      <c r="N504" s="100">
        <v>41018</v>
      </c>
      <c r="O504" s="100">
        <v>41018</v>
      </c>
    </row>
    <row r="505" spans="1:15" ht="14.25">
      <c r="A505" s="97">
        <v>2012</v>
      </c>
      <c r="B505" s="98" t="s">
        <v>198</v>
      </c>
      <c r="C505" s="98" t="s">
        <v>199</v>
      </c>
      <c r="D505" s="99">
        <v>223000</v>
      </c>
      <c r="E505" s="99">
        <v>0</v>
      </c>
      <c r="F505" s="99"/>
      <c r="G505" s="99">
        <v>33</v>
      </c>
      <c r="H505" s="99">
        <v>13</v>
      </c>
      <c r="I505" s="99"/>
      <c r="J505" s="99" t="s">
        <v>68</v>
      </c>
      <c r="K505" s="99" t="b">
        <v>1</v>
      </c>
      <c r="L505" s="95">
        <v>2025</v>
      </c>
      <c r="M505" s="96">
        <v>500000</v>
      </c>
      <c r="N505" s="100">
        <v>41018</v>
      </c>
      <c r="O505" s="100">
        <v>41018</v>
      </c>
    </row>
    <row r="506" spans="1:15" ht="14.25">
      <c r="A506" s="97">
        <v>2012</v>
      </c>
      <c r="B506" s="98" t="s">
        <v>198</v>
      </c>
      <c r="C506" s="98" t="s">
        <v>199</v>
      </c>
      <c r="D506" s="99">
        <v>223000</v>
      </c>
      <c r="E506" s="99">
        <v>0</v>
      </c>
      <c r="F506" s="99"/>
      <c r="G506" s="99">
        <v>54</v>
      </c>
      <c r="H506" s="99">
        <v>27</v>
      </c>
      <c r="I506" s="99" t="s">
        <v>200</v>
      </c>
      <c r="J506" s="99" t="s">
        <v>46</v>
      </c>
      <c r="K506" s="99" t="b">
        <v>0</v>
      </c>
      <c r="L506" s="95">
        <v>2020</v>
      </c>
      <c r="M506" s="96">
        <v>78278948</v>
      </c>
      <c r="N506" s="100">
        <v>41018</v>
      </c>
      <c r="O506" s="100">
        <v>41018</v>
      </c>
    </row>
    <row r="507" spans="1:15" ht="14.25">
      <c r="A507" s="97">
        <v>2012</v>
      </c>
      <c r="B507" s="98" t="s">
        <v>198</v>
      </c>
      <c r="C507" s="98" t="s">
        <v>199</v>
      </c>
      <c r="D507" s="99">
        <v>223000</v>
      </c>
      <c r="E507" s="99">
        <v>0</v>
      </c>
      <c r="F507" s="99"/>
      <c r="G507" s="99">
        <v>21</v>
      </c>
      <c r="H507" s="99" t="s">
        <v>124</v>
      </c>
      <c r="I507" s="99"/>
      <c r="J507" s="99" t="s">
        <v>125</v>
      </c>
      <c r="K507" s="99" t="b">
        <v>1</v>
      </c>
      <c r="L507" s="95">
        <v>2016</v>
      </c>
      <c r="M507" s="96">
        <v>2501733</v>
      </c>
      <c r="N507" s="100">
        <v>41018</v>
      </c>
      <c r="O507" s="100">
        <v>41018</v>
      </c>
    </row>
    <row r="508" spans="1:15" ht="14.25">
      <c r="A508" s="97">
        <v>2012</v>
      </c>
      <c r="B508" s="98" t="s">
        <v>198</v>
      </c>
      <c r="C508" s="98" t="s">
        <v>199</v>
      </c>
      <c r="D508" s="99">
        <v>223000</v>
      </c>
      <c r="E508" s="99">
        <v>0</v>
      </c>
      <c r="F508" s="99"/>
      <c r="G508" s="99">
        <v>47</v>
      </c>
      <c r="H508" s="99" t="s">
        <v>149</v>
      </c>
      <c r="I508" s="99" t="s">
        <v>209</v>
      </c>
      <c r="J508" s="99" t="s">
        <v>78</v>
      </c>
      <c r="K508" s="99" t="b">
        <v>0</v>
      </c>
      <c r="L508" s="95">
        <v>2019</v>
      </c>
      <c r="M508" s="96">
        <v>55</v>
      </c>
      <c r="N508" s="100">
        <v>41018</v>
      </c>
      <c r="O508" s="100">
        <v>41018</v>
      </c>
    </row>
    <row r="509" spans="1:15" ht="14.25">
      <c r="A509" s="97">
        <v>2012</v>
      </c>
      <c r="B509" s="98" t="s">
        <v>198</v>
      </c>
      <c r="C509" s="98" t="s">
        <v>199</v>
      </c>
      <c r="D509" s="99">
        <v>223000</v>
      </c>
      <c r="E509" s="99">
        <v>0</v>
      </c>
      <c r="F509" s="99"/>
      <c r="G509" s="99">
        <v>20</v>
      </c>
      <c r="H509" s="99">
        <v>7</v>
      </c>
      <c r="I509" s="99" t="s">
        <v>205</v>
      </c>
      <c r="J509" s="99" t="s">
        <v>12</v>
      </c>
      <c r="K509" s="99" t="b">
        <v>1</v>
      </c>
      <c r="L509" s="95">
        <v>2018</v>
      </c>
      <c r="M509" s="96">
        <v>3429394</v>
      </c>
      <c r="N509" s="100">
        <v>41018</v>
      </c>
      <c r="O509" s="100">
        <v>41018</v>
      </c>
    </row>
    <row r="510" spans="1:15" ht="14.25">
      <c r="A510" s="97">
        <v>2012</v>
      </c>
      <c r="B510" s="98" t="s">
        <v>198</v>
      </c>
      <c r="C510" s="98" t="s">
        <v>199</v>
      </c>
      <c r="D510" s="99">
        <v>223000</v>
      </c>
      <c r="E510" s="99">
        <v>0</v>
      </c>
      <c r="F510" s="99"/>
      <c r="G510" s="99">
        <v>50</v>
      </c>
      <c r="H510" s="99">
        <v>23</v>
      </c>
      <c r="I510" s="99" t="s">
        <v>215</v>
      </c>
      <c r="J510" s="99" t="s">
        <v>151</v>
      </c>
      <c r="K510" s="99" t="b">
        <v>1</v>
      </c>
      <c r="L510" s="95">
        <v>2026</v>
      </c>
      <c r="M510" s="96">
        <v>85000000</v>
      </c>
      <c r="N510" s="100">
        <v>41018</v>
      </c>
      <c r="O510" s="100">
        <v>41018</v>
      </c>
    </row>
    <row r="511" spans="1:15" ht="14.25">
      <c r="A511" s="97">
        <v>2012</v>
      </c>
      <c r="B511" s="98" t="s">
        <v>198</v>
      </c>
      <c r="C511" s="98" t="s">
        <v>199</v>
      </c>
      <c r="D511" s="99">
        <v>223000</v>
      </c>
      <c r="E511" s="99">
        <v>0</v>
      </c>
      <c r="F511" s="99"/>
      <c r="G511" s="99">
        <v>19</v>
      </c>
      <c r="H511" s="99">
        <v>6</v>
      </c>
      <c r="I511" s="99" t="s">
        <v>211</v>
      </c>
      <c r="J511" s="99" t="s">
        <v>123</v>
      </c>
      <c r="K511" s="99" t="b">
        <v>0</v>
      </c>
      <c r="L511" s="95">
        <v>2022</v>
      </c>
      <c r="M511" s="96">
        <v>3176119</v>
      </c>
      <c r="N511" s="100">
        <v>41018</v>
      </c>
      <c r="O511" s="100">
        <v>41018</v>
      </c>
    </row>
    <row r="512" spans="1:15" ht="14.25">
      <c r="A512" s="97">
        <v>2012</v>
      </c>
      <c r="B512" s="98" t="s">
        <v>198</v>
      </c>
      <c r="C512" s="98" t="s">
        <v>199</v>
      </c>
      <c r="D512" s="99">
        <v>223000</v>
      </c>
      <c r="E512" s="99">
        <v>0</v>
      </c>
      <c r="F512" s="99"/>
      <c r="G512" s="99">
        <v>54</v>
      </c>
      <c r="H512" s="99">
        <v>27</v>
      </c>
      <c r="I512" s="99" t="s">
        <v>200</v>
      </c>
      <c r="J512" s="99" t="s">
        <v>46</v>
      </c>
      <c r="K512" s="99" t="b">
        <v>0</v>
      </c>
      <c r="L512" s="95">
        <v>2017</v>
      </c>
      <c r="M512" s="96">
        <v>75953580</v>
      </c>
      <c r="N512" s="100">
        <v>41018</v>
      </c>
      <c r="O512" s="100">
        <v>41018</v>
      </c>
    </row>
    <row r="513" spans="1:15" ht="14.25">
      <c r="A513" s="97">
        <v>2012</v>
      </c>
      <c r="B513" s="98" t="s">
        <v>198</v>
      </c>
      <c r="C513" s="98" t="s">
        <v>199</v>
      </c>
      <c r="D513" s="99">
        <v>223000</v>
      </c>
      <c r="E513" s="99">
        <v>0</v>
      </c>
      <c r="F513" s="99"/>
      <c r="G513" s="99">
        <v>47</v>
      </c>
      <c r="H513" s="99" t="s">
        <v>149</v>
      </c>
      <c r="I513" s="99" t="s">
        <v>209</v>
      </c>
      <c r="J513" s="99" t="s">
        <v>78</v>
      </c>
      <c r="K513" s="99" t="b">
        <v>0</v>
      </c>
      <c r="L513" s="95">
        <v>2015</v>
      </c>
      <c r="M513" s="96">
        <v>1334</v>
      </c>
      <c r="N513" s="100">
        <v>41018</v>
      </c>
      <c r="O513" s="100">
        <v>41018</v>
      </c>
    </row>
    <row r="514" spans="1:15" ht="14.25">
      <c r="A514" s="97">
        <v>2012</v>
      </c>
      <c r="B514" s="98" t="s">
        <v>198</v>
      </c>
      <c r="C514" s="98" t="s">
        <v>199</v>
      </c>
      <c r="D514" s="99">
        <v>223000</v>
      </c>
      <c r="E514" s="99">
        <v>0</v>
      </c>
      <c r="F514" s="99"/>
      <c r="G514" s="99">
        <v>52</v>
      </c>
      <c r="H514" s="99">
        <v>25</v>
      </c>
      <c r="I514" s="99" t="s">
        <v>216</v>
      </c>
      <c r="J514" s="99" t="s">
        <v>49</v>
      </c>
      <c r="K514" s="99" t="b">
        <v>1</v>
      </c>
      <c r="L514" s="95">
        <v>2022</v>
      </c>
      <c r="M514" s="96">
        <v>1654468</v>
      </c>
      <c r="N514" s="100">
        <v>41018</v>
      </c>
      <c r="O514" s="100">
        <v>41018</v>
      </c>
    </row>
    <row r="515" spans="1:15" ht="14.25">
      <c r="A515" s="97">
        <v>2012</v>
      </c>
      <c r="B515" s="98" t="s">
        <v>198</v>
      </c>
      <c r="C515" s="98" t="s">
        <v>199</v>
      </c>
      <c r="D515" s="99">
        <v>223000</v>
      </c>
      <c r="E515" s="99">
        <v>0</v>
      </c>
      <c r="F515" s="99"/>
      <c r="G515" s="99">
        <v>40</v>
      </c>
      <c r="H515" s="99">
        <v>18</v>
      </c>
      <c r="I515" s="99" t="s">
        <v>214</v>
      </c>
      <c r="J515" s="99" t="s">
        <v>71</v>
      </c>
      <c r="K515" s="99" t="b">
        <v>0</v>
      </c>
      <c r="L515" s="95">
        <v>2013</v>
      </c>
      <c r="M515" s="96">
        <v>0.3854</v>
      </c>
      <c r="N515" s="100">
        <v>41018</v>
      </c>
      <c r="O515" s="100">
        <v>41018</v>
      </c>
    </row>
    <row r="516" spans="1:15" ht="14.25">
      <c r="A516" s="97">
        <v>2012</v>
      </c>
      <c r="B516" s="98" t="s">
        <v>198</v>
      </c>
      <c r="C516" s="98" t="s">
        <v>199</v>
      </c>
      <c r="D516" s="99">
        <v>223000</v>
      </c>
      <c r="E516" s="99">
        <v>0</v>
      </c>
      <c r="F516" s="99"/>
      <c r="G516" s="99">
        <v>43</v>
      </c>
      <c r="H516" s="99" t="s">
        <v>146</v>
      </c>
      <c r="I516" s="99" t="s">
        <v>208</v>
      </c>
      <c r="J516" s="99" t="s">
        <v>76</v>
      </c>
      <c r="K516" s="99" t="b">
        <v>0</v>
      </c>
      <c r="L516" s="95">
        <v>2015</v>
      </c>
      <c r="M516" s="96">
        <v>0.0475</v>
      </c>
      <c r="N516" s="100">
        <v>41018</v>
      </c>
      <c r="O516" s="100">
        <v>41018</v>
      </c>
    </row>
    <row r="517" spans="1:15" ht="14.25">
      <c r="A517" s="97">
        <v>2012</v>
      </c>
      <c r="B517" s="98" t="s">
        <v>198</v>
      </c>
      <c r="C517" s="98" t="s">
        <v>199</v>
      </c>
      <c r="D517" s="99">
        <v>223000</v>
      </c>
      <c r="E517" s="99">
        <v>0</v>
      </c>
      <c r="F517" s="99"/>
      <c r="G517" s="99">
        <v>57</v>
      </c>
      <c r="H517" s="99">
        <v>30</v>
      </c>
      <c r="I517" s="99" t="s">
        <v>201</v>
      </c>
      <c r="J517" s="99" t="s">
        <v>155</v>
      </c>
      <c r="K517" s="99" t="b">
        <v>0</v>
      </c>
      <c r="L517" s="95">
        <v>2022</v>
      </c>
      <c r="M517" s="96">
        <v>2154468</v>
      </c>
      <c r="N517" s="100">
        <v>41018</v>
      </c>
      <c r="O517" s="100">
        <v>41018</v>
      </c>
    </row>
    <row r="518" spans="1:15" ht="14.25">
      <c r="A518" s="97">
        <v>2012</v>
      </c>
      <c r="B518" s="98" t="s">
        <v>198</v>
      </c>
      <c r="C518" s="98" t="s">
        <v>199</v>
      </c>
      <c r="D518" s="99">
        <v>223000</v>
      </c>
      <c r="E518" s="99">
        <v>0</v>
      </c>
      <c r="F518" s="99"/>
      <c r="G518" s="99">
        <v>40</v>
      </c>
      <c r="H518" s="99">
        <v>18</v>
      </c>
      <c r="I518" s="99" t="s">
        <v>214</v>
      </c>
      <c r="J518" s="99" t="s">
        <v>71</v>
      </c>
      <c r="K518" s="99" t="b">
        <v>0</v>
      </c>
      <c r="L518" s="95">
        <v>2024</v>
      </c>
      <c r="M518" s="96">
        <v>0.0119</v>
      </c>
      <c r="N518" s="100">
        <v>41018</v>
      </c>
      <c r="O518" s="100">
        <v>41018</v>
      </c>
    </row>
    <row r="519" spans="1:15" ht="14.25">
      <c r="A519" s="97">
        <v>2012</v>
      </c>
      <c r="B519" s="98" t="s">
        <v>198</v>
      </c>
      <c r="C519" s="98" t="s">
        <v>199</v>
      </c>
      <c r="D519" s="99">
        <v>223000</v>
      </c>
      <c r="E519" s="99">
        <v>0</v>
      </c>
      <c r="F519" s="99"/>
      <c r="G519" s="99">
        <v>3</v>
      </c>
      <c r="H519" s="99" t="s">
        <v>98</v>
      </c>
      <c r="I519" s="99"/>
      <c r="J519" s="99" t="s">
        <v>99</v>
      </c>
      <c r="K519" s="99" t="b">
        <v>1</v>
      </c>
      <c r="L519" s="95">
        <v>2013</v>
      </c>
      <c r="M519" s="96">
        <v>143073</v>
      </c>
      <c r="N519" s="100">
        <v>41018</v>
      </c>
      <c r="O519" s="100">
        <v>41018</v>
      </c>
    </row>
    <row r="520" spans="1:15" ht="14.25">
      <c r="A520" s="97">
        <v>2012</v>
      </c>
      <c r="B520" s="98" t="s">
        <v>198</v>
      </c>
      <c r="C520" s="98" t="s">
        <v>199</v>
      </c>
      <c r="D520" s="99">
        <v>223000</v>
      </c>
      <c r="E520" s="99">
        <v>0</v>
      </c>
      <c r="F520" s="99"/>
      <c r="G520" s="99">
        <v>14</v>
      </c>
      <c r="H520" s="99">
        <v>3</v>
      </c>
      <c r="I520" s="99" t="s">
        <v>217</v>
      </c>
      <c r="J520" s="99" t="s">
        <v>118</v>
      </c>
      <c r="K520" s="99" t="b">
        <v>1</v>
      </c>
      <c r="L520" s="95">
        <v>2021</v>
      </c>
      <c r="M520" s="96">
        <v>3666544</v>
      </c>
      <c r="N520" s="100">
        <v>41018</v>
      </c>
      <c r="O520" s="100">
        <v>41018</v>
      </c>
    </row>
    <row r="521" spans="1:15" ht="14.25">
      <c r="A521" s="97">
        <v>2012</v>
      </c>
      <c r="B521" s="98" t="s">
        <v>198</v>
      </c>
      <c r="C521" s="98" t="s">
        <v>199</v>
      </c>
      <c r="D521" s="99">
        <v>223000</v>
      </c>
      <c r="E521" s="99">
        <v>0</v>
      </c>
      <c r="F521" s="99"/>
      <c r="G521" s="99">
        <v>23</v>
      </c>
      <c r="H521" s="99" t="s">
        <v>128</v>
      </c>
      <c r="I521" s="99"/>
      <c r="J521" s="99" t="s">
        <v>129</v>
      </c>
      <c r="K521" s="99" t="b">
        <v>1</v>
      </c>
      <c r="L521" s="95">
        <v>2026</v>
      </c>
      <c r="M521" s="96">
        <v>18281</v>
      </c>
      <c r="N521" s="100">
        <v>41018</v>
      </c>
      <c r="O521" s="100">
        <v>41018</v>
      </c>
    </row>
    <row r="522" spans="1:15" ht="14.25">
      <c r="A522" s="97">
        <v>2012</v>
      </c>
      <c r="B522" s="98" t="s">
        <v>198</v>
      </c>
      <c r="C522" s="98" t="s">
        <v>199</v>
      </c>
      <c r="D522" s="99">
        <v>223000</v>
      </c>
      <c r="E522" s="99">
        <v>0</v>
      </c>
      <c r="F522" s="99"/>
      <c r="G522" s="99">
        <v>19</v>
      </c>
      <c r="H522" s="99">
        <v>6</v>
      </c>
      <c r="I522" s="99" t="s">
        <v>211</v>
      </c>
      <c r="J522" s="99" t="s">
        <v>123</v>
      </c>
      <c r="K522" s="99" t="b">
        <v>0</v>
      </c>
      <c r="L522" s="95">
        <v>2014</v>
      </c>
      <c r="M522" s="96">
        <v>21654434</v>
      </c>
      <c r="N522" s="100">
        <v>41018</v>
      </c>
      <c r="O522" s="100">
        <v>41018</v>
      </c>
    </row>
    <row r="523" spans="1:15" ht="14.25">
      <c r="A523" s="97">
        <v>2012</v>
      </c>
      <c r="B523" s="98" t="s">
        <v>198</v>
      </c>
      <c r="C523" s="98" t="s">
        <v>199</v>
      </c>
      <c r="D523" s="99">
        <v>223000</v>
      </c>
      <c r="E523" s="99">
        <v>0</v>
      </c>
      <c r="F523" s="99"/>
      <c r="G523" s="99">
        <v>52</v>
      </c>
      <c r="H523" s="99">
        <v>25</v>
      </c>
      <c r="I523" s="99" t="s">
        <v>216</v>
      </c>
      <c r="J523" s="99" t="s">
        <v>49</v>
      </c>
      <c r="K523" s="99" t="b">
        <v>1</v>
      </c>
      <c r="L523" s="95">
        <v>2019</v>
      </c>
      <c r="M523" s="96">
        <v>2001733</v>
      </c>
      <c r="N523" s="100">
        <v>41018</v>
      </c>
      <c r="O523" s="100">
        <v>41018</v>
      </c>
    </row>
    <row r="524" spans="1:15" ht="14.25">
      <c r="A524" s="97">
        <v>2012</v>
      </c>
      <c r="B524" s="98" t="s">
        <v>198</v>
      </c>
      <c r="C524" s="98" t="s">
        <v>199</v>
      </c>
      <c r="D524" s="99">
        <v>223000</v>
      </c>
      <c r="E524" s="99">
        <v>0</v>
      </c>
      <c r="F524" s="99"/>
      <c r="G524" s="99">
        <v>26</v>
      </c>
      <c r="H524" s="99">
        <v>9</v>
      </c>
      <c r="I524" s="99" t="s">
        <v>221</v>
      </c>
      <c r="J524" s="99" t="s">
        <v>133</v>
      </c>
      <c r="K524" s="99" t="b">
        <v>0</v>
      </c>
      <c r="L524" s="95">
        <v>2018</v>
      </c>
      <c r="M524" s="96">
        <v>1160000</v>
      </c>
      <c r="N524" s="100">
        <v>41018</v>
      </c>
      <c r="O524" s="100">
        <v>41018</v>
      </c>
    </row>
    <row r="525" spans="1:15" ht="14.25">
      <c r="A525" s="97">
        <v>2012</v>
      </c>
      <c r="B525" s="98" t="s">
        <v>198</v>
      </c>
      <c r="C525" s="98" t="s">
        <v>199</v>
      </c>
      <c r="D525" s="99">
        <v>223000</v>
      </c>
      <c r="E525" s="99">
        <v>0</v>
      </c>
      <c r="F525" s="99"/>
      <c r="G525" s="99">
        <v>48</v>
      </c>
      <c r="H525" s="99">
        <v>22</v>
      </c>
      <c r="I525" s="99" t="s">
        <v>219</v>
      </c>
      <c r="J525" s="99" t="s">
        <v>79</v>
      </c>
      <c r="K525" s="99" t="b">
        <v>0</v>
      </c>
      <c r="L525" s="95">
        <v>2014</v>
      </c>
      <c r="M525" s="96">
        <v>0.0628</v>
      </c>
      <c r="N525" s="100">
        <v>41018</v>
      </c>
      <c r="O525" s="100">
        <v>41018</v>
      </c>
    </row>
    <row r="526" spans="1:15" ht="14.25">
      <c r="A526" s="97">
        <v>2012</v>
      </c>
      <c r="B526" s="98" t="s">
        <v>198</v>
      </c>
      <c r="C526" s="98" t="s">
        <v>199</v>
      </c>
      <c r="D526" s="99">
        <v>223000</v>
      </c>
      <c r="E526" s="99">
        <v>0</v>
      </c>
      <c r="F526" s="99"/>
      <c r="G526" s="99">
        <v>26</v>
      </c>
      <c r="H526" s="99">
        <v>9</v>
      </c>
      <c r="I526" s="99" t="s">
        <v>221</v>
      </c>
      <c r="J526" s="99" t="s">
        <v>133</v>
      </c>
      <c r="K526" s="99" t="b">
        <v>0</v>
      </c>
      <c r="L526" s="95">
        <v>2012</v>
      </c>
      <c r="M526" s="96">
        <v>17039959</v>
      </c>
      <c r="N526" s="100">
        <v>41018</v>
      </c>
      <c r="O526" s="100">
        <v>41018</v>
      </c>
    </row>
    <row r="527" spans="1:15" ht="14.25">
      <c r="A527" s="97">
        <v>2012</v>
      </c>
      <c r="B527" s="98" t="s">
        <v>198</v>
      </c>
      <c r="C527" s="98" t="s">
        <v>199</v>
      </c>
      <c r="D527" s="99">
        <v>223000</v>
      </c>
      <c r="E527" s="99">
        <v>0</v>
      </c>
      <c r="F527" s="99"/>
      <c r="G527" s="99">
        <v>40</v>
      </c>
      <c r="H527" s="99">
        <v>18</v>
      </c>
      <c r="I527" s="99" t="s">
        <v>214</v>
      </c>
      <c r="J527" s="99" t="s">
        <v>71</v>
      </c>
      <c r="K527" s="99" t="b">
        <v>0</v>
      </c>
      <c r="L527" s="95">
        <v>2016</v>
      </c>
      <c r="M527" s="96">
        <v>0.2576</v>
      </c>
      <c r="N527" s="100">
        <v>41018</v>
      </c>
      <c r="O527" s="100">
        <v>41018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2012-04-19T12:36:27Z</cp:lastPrinted>
  <dcterms:created xsi:type="dcterms:W3CDTF">2010-09-17T02:30:46Z</dcterms:created>
  <dcterms:modified xsi:type="dcterms:W3CDTF">2012-04-19T12:39:25Z</dcterms:modified>
  <cp:category/>
  <cp:version/>
  <cp:contentType/>
  <cp:contentStatus/>
</cp:coreProperties>
</file>